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readinessStandards/attachments/"/>
    </mc:Choice>
  </mc:AlternateContent>
  <xr:revisionPtr revIDLastSave="0" documentId="8_{97D47A51-BFED-43FD-8785-070F40EC865C}" xr6:coauthVersionLast="47" xr6:coauthVersionMax="47" xr10:uidLastSave="{00000000-0000-0000-0000-000000000000}"/>
  <bookViews>
    <workbookView xWindow="-120" yWindow="-120" windowWidth="29040" windowHeight="15840" tabRatio="895" xr2:uid="{00000000-000D-0000-FFFF-FFFF00000000}"/>
  </bookViews>
  <sheets>
    <sheet name="Inventory" sheetId="9" r:id="rId1"/>
    <sheet name="Log" sheetId="5" r:id="rId2"/>
    <sheet name="HM - 3 AC 3 Crew" sheetId="18" r:id="rId3"/>
    <sheet name="HM - 4 AC 4 Crew" sheetId="2" r:id="rId4"/>
    <sheet name="HM-Det 3" sheetId="11" r:id="rId5"/>
    <sheet name="HM - Bahrain DRRS" sheetId="21" r:id="rId6"/>
    <sheet name="HM - 4 AC, 6 Crew DRRS" sheetId="4" r:id="rId7"/>
    <sheet name="HM (MH-53E FRS)" sheetId="14" r:id="rId8"/>
    <sheet name="HM Reduced MET Matrix" sheetId="16" r:id="rId9"/>
    <sheet name="MH-53E Mission System Summary_O" sheetId="17" r:id="rId10"/>
    <sheet name="MH-53E Mission System Summary" sheetId="20" r:id="rId11"/>
    <sheet name="HM Mission Systems" sheetId="13" r:id="rId12"/>
    <sheet name="Definitions"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9" l="1"/>
  <c r="A6" i="9"/>
  <c r="A7" i="9"/>
  <c r="D5" i="9"/>
  <c r="E5" i="9" s="1"/>
  <c r="C5" i="9"/>
  <c r="A5" i="9"/>
  <c r="E11" i="9"/>
  <c r="E12" i="9"/>
  <c r="E13" i="9"/>
  <c r="E14" i="9"/>
  <c r="D2" i="9"/>
  <c r="E2" i="9" s="1"/>
  <c r="C2" i="9"/>
  <c r="A3" i="9"/>
  <c r="A2" i="9"/>
  <c r="E45" i="21"/>
  <c r="B161" i="21"/>
  <c r="F46" i="21" s="1"/>
  <c r="B160" i="21"/>
  <c r="F45" i="21" s="1"/>
  <c r="B159" i="21"/>
  <c r="F44" i="21" s="1"/>
  <c r="B158" i="21"/>
  <c r="F43" i="21" s="1"/>
  <c r="B157" i="21"/>
  <c r="E42" i="21" s="1"/>
  <c r="B156" i="21"/>
  <c r="F41" i="21" s="1"/>
  <c r="B155" i="21"/>
  <c r="F40" i="21" s="1"/>
  <c r="B154" i="21"/>
  <c r="F39" i="21" s="1"/>
  <c r="A149" i="21"/>
  <c r="A148" i="21"/>
  <c r="A147" i="21"/>
  <c r="A146" i="21"/>
  <c r="A145" i="21"/>
  <c r="A144" i="21"/>
  <c r="A143" i="21"/>
  <c r="A142" i="21"/>
  <c r="A141" i="21"/>
  <c r="A140" i="21"/>
  <c r="A139" i="21"/>
  <c r="A138" i="21"/>
  <c r="A136" i="21"/>
  <c r="A135" i="21"/>
  <c r="A134" i="21"/>
  <c r="A133" i="21"/>
  <c r="A132" i="21"/>
  <c r="A131" i="21"/>
  <c r="A130" i="21"/>
  <c r="A129" i="21"/>
  <c r="F97" i="21"/>
  <c r="E97" i="21"/>
  <c r="D97" i="21"/>
  <c r="C97" i="21"/>
  <c r="B97" i="21"/>
  <c r="F96" i="21"/>
  <c r="F18" i="21" s="1"/>
  <c r="E96" i="21"/>
  <c r="D96" i="21"/>
  <c r="C96" i="21"/>
  <c r="B96" i="21"/>
  <c r="F94" i="21"/>
  <c r="D94" i="21"/>
  <c r="C94" i="21"/>
  <c r="B94" i="21"/>
  <c r="F93" i="21"/>
  <c r="D93" i="21"/>
  <c r="C93" i="21"/>
  <c r="B93" i="21"/>
  <c r="F75" i="21"/>
  <c r="E75" i="21"/>
  <c r="D75" i="21"/>
  <c r="C75" i="21"/>
  <c r="B75" i="21"/>
  <c r="A75" i="21"/>
  <c r="F74" i="21"/>
  <c r="E74" i="21"/>
  <c r="D74" i="21"/>
  <c r="C74" i="21"/>
  <c r="B74" i="21"/>
  <c r="A74" i="21"/>
  <c r="F73" i="21"/>
  <c r="E73" i="21"/>
  <c r="D73" i="21"/>
  <c r="C73" i="21"/>
  <c r="B73" i="21"/>
  <c r="A73" i="21"/>
  <c r="F72" i="21"/>
  <c r="E72" i="21"/>
  <c r="D72" i="21"/>
  <c r="C72" i="21"/>
  <c r="B72" i="21"/>
  <c r="A72" i="21"/>
  <c r="F71" i="21"/>
  <c r="E71" i="21"/>
  <c r="D71" i="21"/>
  <c r="C71" i="21"/>
  <c r="B71" i="21"/>
  <c r="A71" i="21"/>
  <c r="F70" i="21"/>
  <c r="E70" i="21"/>
  <c r="D70" i="21"/>
  <c r="C70" i="21"/>
  <c r="B70" i="21"/>
  <c r="A70" i="21"/>
  <c r="F69" i="21"/>
  <c r="E69" i="21"/>
  <c r="D69" i="21"/>
  <c r="C69" i="21"/>
  <c r="B69" i="21"/>
  <c r="A69" i="21"/>
  <c r="F68" i="21"/>
  <c r="E68" i="21"/>
  <c r="D68" i="21"/>
  <c r="C68" i="21"/>
  <c r="B68" i="21"/>
  <c r="A68" i="21"/>
  <c r="F67" i="21"/>
  <c r="E67" i="21"/>
  <c r="D67" i="21"/>
  <c r="C67" i="21"/>
  <c r="B67" i="21"/>
  <c r="A67" i="21"/>
  <c r="F66" i="21"/>
  <c r="E66" i="21"/>
  <c r="D66" i="21"/>
  <c r="C66" i="21"/>
  <c r="B66" i="21"/>
  <c r="A66" i="21"/>
  <c r="F65" i="21"/>
  <c r="E65" i="21"/>
  <c r="E94" i="21" s="1"/>
  <c r="D65" i="21"/>
  <c r="C65" i="21"/>
  <c r="B65" i="21"/>
  <c r="A65" i="21"/>
  <c r="F64" i="21"/>
  <c r="E64" i="21"/>
  <c r="E93" i="21" s="1"/>
  <c r="D64" i="21"/>
  <c r="C64" i="21"/>
  <c r="B64" i="21"/>
  <c r="A64" i="21"/>
  <c r="F63" i="21"/>
  <c r="E63" i="21"/>
  <c r="D63" i="21"/>
  <c r="C63" i="21"/>
  <c r="B63" i="21"/>
  <c r="A63" i="21"/>
  <c r="F62" i="21"/>
  <c r="E62" i="21"/>
  <c r="D62" i="21"/>
  <c r="C62" i="21"/>
  <c r="B62" i="21"/>
  <c r="A62" i="21"/>
  <c r="F61" i="21"/>
  <c r="E61" i="21"/>
  <c r="D61" i="21"/>
  <c r="C61" i="21"/>
  <c r="B61" i="21"/>
  <c r="A61" i="21"/>
  <c r="F55" i="21"/>
  <c r="E55" i="21"/>
  <c r="M36" i="21"/>
  <c r="M35" i="21"/>
  <c r="M34" i="21"/>
  <c r="M33" i="21"/>
  <c r="M32" i="21"/>
  <c r="M31" i="21"/>
  <c r="E30" i="21"/>
  <c r="B30" i="21"/>
  <c r="E26" i="21"/>
  <c r="F24" i="21"/>
  <c r="D24" i="21"/>
  <c r="C24" i="21"/>
  <c r="B24" i="21"/>
  <c r="F19" i="21"/>
  <c r="E18" i="21"/>
  <c r="D18" i="21"/>
  <c r="G15" i="21"/>
  <c r="G16" i="21" s="1"/>
  <c r="G17" i="21" s="1"/>
  <c r="G18" i="21" s="1"/>
  <c r="G19" i="21" s="1"/>
  <c r="G20" i="21" s="1"/>
  <c r="G21" i="21" s="1"/>
  <c r="G22" i="21" s="1"/>
  <c r="G23" i="21" s="1"/>
  <c r="G24" i="21" s="1"/>
  <c r="G25" i="21" s="1"/>
  <c r="G26" i="21" s="1"/>
  <c r="G27" i="21" s="1"/>
  <c r="G28" i="21" s="1"/>
  <c r="G29" i="21" s="1"/>
  <c r="G30" i="21" s="1"/>
  <c r="G31" i="21" s="1"/>
  <c r="G32" i="21" s="1"/>
  <c r="G33" i="21" s="1"/>
  <c r="G34" i="21" s="1"/>
  <c r="G35" i="21" s="1"/>
  <c r="G36" i="21" s="1"/>
  <c r="G37" i="21" s="1"/>
  <c r="G38" i="21" s="1"/>
  <c r="G39" i="21" s="1"/>
  <c r="G40" i="21" s="1"/>
  <c r="G41" i="21" s="1"/>
  <c r="G42" i="21" s="1"/>
  <c r="G43" i="21" s="1"/>
  <c r="G44" i="21" s="1"/>
  <c r="G45" i="21" s="1"/>
  <c r="G46" i="21" s="1"/>
  <c r="G47" i="21" s="1"/>
  <c r="G48" i="21" s="1"/>
  <c r="G49" i="21" s="1"/>
  <c r="G50" i="21" s="1"/>
  <c r="G51" i="21" s="1"/>
  <c r="G52" i="21" s="1"/>
  <c r="G53" i="21" s="1"/>
  <c r="G54" i="21" s="1"/>
  <c r="G55" i="21" s="1"/>
  <c r="G56" i="21" s="1"/>
  <c r="G57" i="21" s="1"/>
  <c r="G58" i="21" s="1"/>
  <c r="G59" i="21" s="1"/>
  <c r="B11" i="21"/>
  <c r="F30" i="21" s="1"/>
  <c r="B10" i="21"/>
  <c r="E24" i="21" s="1"/>
  <c r="B9" i="21"/>
  <c r="F23" i="21" s="1"/>
  <c r="B7" i="21"/>
  <c r="B8" i="21" s="1"/>
  <c r="B3" i="21"/>
  <c r="F42" i="21" l="1"/>
  <c r="E46" i="21"/>
  <c r="E39" i="21"/>
  <c r="E43" i="21"/>
  <c r="E40" i="21"/>
  <c r="E44" i="21"/>
  <c r="E41" i="21"/>
  <c r="C30" i="21"/>
  <c r="D30" i="21"/>
  <c r="F21" i="21"/>
  <c r="C23" i="21"/>
  <c r="D23" i="21"/>
  <c r="B23" i="21"/>
  <c r="E23" i="21"/>
  <c r="F25" i="21"/>
  <c r="F22" i="21"/>
  <c r="B21" i="21"/>
  <c r="E21" i="21"/>
  <c r="D21" i="21"/>
  <c r="C21" i="21"/>
  <c r="D9" i="9"/>
  <c r="E9" i="9" s="1"/>
  <c r="A9" i="9"/>
  <c r="C1" i="20"/>
  <c r="B1" i="20"/>
  <c r="B152" i="18" s="1"/>
  <c r="C2" i="20"/>
  <c r="B2" i="20"/>
  <c r="C22" i="21" l="1"/>
  <c r="C25" i="21"/>
  <c r="D22" i="21"/>
  <c r="D26" i="21" s="1"/>
  <c r="D25" i="21"/>
  <c r="E25" i="21"/>
  <c r="E22" i="21"/>
  <c r="B25" i="21"/>
  <c r="B22" i="21"/>
  <c r="C28" i="21"/>
  <c r="F26" i="21"/>
  <c r="F27" i="21" s="1"/>
  <c r="F32" i="21"/>
  <c r="F35" i="21" s="1"/>
  <c r="B153" i="18"/>
  <c r="B150" i="2"/>
  <c r="B151" i="18"/>
  <c r="B150" i="18"/>
  <c r="B149" i="18"/>
  <c r="B148" i="18"/>
  <c r="B147" i="18"/>
  <c r="B146" i="18"/>
  <c r="B145" i="18"/>
  <c r="B153" i="2"/>
  <c r="B152" i="2"/>
  <c r="B151" i="2"/>
  <c r="B145" i="2"/>
  <c r="B149" i="2"/>
  <c r="B148" i="2"/>
  <c r="B147" i="2"/>
  <c r="B146" i="2"/>
  <c r="F33" i="21" l="1"/>
  <c r="E32" i="21"/>
  <c r="E35" i="21" s="1"/>
  <c r="E27" i="21"/>
  <c r="D28" i="21"/>
  <c r="B26" i="21"/>
  <c r="D32" i="21"/>
  <c r="D35" i="21" s="1"/>
  <c r="D27" i="21"/>
  <c r="B28" i="21"/>
  <c r="C32" i="21"/>
  <c r="C35" i="21" s="1"/>
  <c r="B32" i="21"/>
  <c r="B35" i="21" s="1"/>
  <c r="B27" i="21"/>
  <c r="E28" i="21"/>
  <c r="C26" i="21"/>
  <c r="C27" i="21" s="1"/>
  <c r="F33" i="2"/>
  <c r="E33" i="2"/>
  <c r="D33" i="2"/>
  <c r="C33" i="2"/>
  <c r="B33" i="2"/>
  <c r="C33" i="18"/>
  <c r="D33" i="18"/>
  <c r="E33" i="18"/>
  <c r="F33" i="18"/>
  <c r="B33" i="18"/>
  <c r="B3" i="2"/>
  <c r="B3" i="18"/>
  <c r="F44" i="18"/>
  <c r="F43" i="18"/>
  <c r="F42" i="18"/>
  <c r="F41" i="18"/>
  <c r="F40" i="18"/>
  <c r="F39" i="18"/>
  <c r="F34" i="18"/>
  <c r="F37" i="18" s="1"/>
  <c r="A141" i="18"/>
  <c r="A140" i="18"/>
  <c r="A139" i="18"/>
  <c r="A138" i="18"/>
  <c r="A137" i="18"/>
  <c r="A136" i="18"/>
  <c r="A135" i="18"/>
  <c r="A134" i="18"/>
  <c r="A133" i="18"/>
  <c r="A132" i="18"/>
  <c r="A131" i="18"/>
  <c r="A130" i="18"/>
  <c r="A128" i="18"/>
  <c r="A127" i="18"/>
  <c r="A126" i="18"/>
  <c r="A125" i="18"/>
  <c r="A124" i="18"/>
  <c r="A123" i="18"/>
  <c r="A122" i="18"/>
  <c r="A121" i="18"/>
  <c r="F89" i="18"/>
  <c r="E89" i="18"/>
  <c r="D89" i="18"/>
  <c r="C89" i="18"/>
  <c r="B89" i="18"/>
  <c r="F88" i="18"/>
  <c r="E88" i="18"/>
  <c r="D88" i="18"/>
  <c r="C88" i="18"/>
  <c r="B88" i="18"/>
  <c r="F86" i="18"/>
  <c r="D86" i="18"/>
  <c r="C86" i="18"/>
  <c r="B86" i="18"/>
  <c r="F85" i="18"/>
  <c r="D85" i="18"/>
  <c r="C85" i="18"/>
  <c r="B85" i="18"/>
  <c r="F75" i="18"/>
  <c r="E75" i="18"/>
  <c r="D75" i="18"/>
  <c r="C75" i="18"/>
  <c r="B75" i="18"/>
  <c r="A75" i="18"/>
  <c r="F74" i="18"/>
  <c r="E74" i="18"/>
  <c r="D74" i="18"/>
  <c r="C74" i="18"/>
  <c r="B74" i="18"/>
  <c r="A74" i="18"/>
  <c r="F73" i="18"/>
  <c r="E73" i="18"/>
  <c r="D73" i="18"/>
  <c r="C73" i="18"/>
  <c r="B73" i="18"/>
  <c r="A73" i="18"/>
  <c r="F72" i="18"/>
  <c r="E72" i="18"/>
  <c r="D72" i="18"/>
  <c r="C72" i="18"/>
  <c r="B72" i="18"/>
  <c r="A72" i="18"/>
  <c r="F71" i="18"/>
  <c r="E71" i="18"/>
  <c r="D71" i="18"/>
  <c r="C71" i="18"/>
  <c r="B71" i="18"/>
  <c r="A71" i="18"/>
  <c r="F70" i="18"/>
  <c r="E70" i="18"/>
  <c r="D70" i="18"/>
  <c r="C70" i="18"/>
  <c r="B70" i="18"/>
  <c r="A70" i="18"/>
  <c r="F69" i="18"/>
  <c r="E69" i="18"/>
  <c r="D69" i="18"/>
  <c r="C69" i="18"/>
  <c r="B69" i="18"/>
  <c r="A69" i="18"/>
  <c r="F68" i="18"/>
  <c r="E68" i="18"/>
  <c r="D68" i="18"/>
  <c r="C68" i="18"/>
  <c r="B68" i="18"/>
  <c r="A68" i="18"/>
  <c r="F67" i="18"/>
  <c r="E67" i="18"/>
  <c r="D67" i="18"/>
  <c r="C67" i="18"/>
  <c r="B67" i="18"/>
  <c r="A67" i="18"/>
  <c r="F66" i="18"/>
  <c r="E66" i="18"/>
  <c r="D66" i="18"/>
  <c r="C66" i="18"/>
  <c r="B66" i="18"/>
  <c r="A66" i="18"/>
  <c r="F65" i="18"/>
  <c r="E65" i="18"/>
  <c r="E86" i="18" s="1"/>
  <c r="D65" i="18"/>
  <c r="C65" i="18"/>
  <c r="B65" i="18"/>
  <c r="A65" i="18"/>
  <c r="F64" i="18"/>
  <c r="E64" i="18"/>
  <c r="E85" i="18" s="1"/>
  <c r="D64" i="18"/>
  <c r="C64" i="18"/>
  <c r="B64" i="18"/>
  <c r="A64" i="18"/>
  <c r="F63" i="18"/>
  <c r="E63" i="18"/>
  <c r="D63" i="18"/>
  <c r="C63" i="18"/>
  <c r="B63" i="18"/>
  <c r="A63" i="18"/>
  <c r="F62" i="18"/>
  <c r="E62" i="18"/>
  <c r="D62" i="18"/>
  <c r="C62" i="18"/>
  <c r="B62" i="18"/>
  <c r="A62" i="18"/>
  <c r="F61" i="18"/>
  <c r="E61" i="18"/>
  <c r="D61" i="18"/>
  <c r="C61" i="18"/>
  <c r="B61" i="18"/>
  <c r="A61" i="18"/>
  <c r="F55" i="18"/>
  <c r="E55" i="18"/>
  <c r="F46" i="18"/>
  <c r="F45" i="18"/>
  <c r="M36" i="18"/>
  <c r="M35" i="18"/>
  <c r="M34" i="18"/>
  <c r="M33" i="18"/>
  <c r="M32" i="18"/>
  <c r="M31" i="18"/>
  <c r="E30" i="18"/>
  <c r="E26" i="18"/>
  <c r="F24" i="18"/>
  <c r="D24" i="18"/>
  <c r="C24" i="18"/>
  <c r="B24" i="18"/>
  <c r="F19" i="18"/>
  <c r="F18" i="18"/>
  <c r="E18" i="18"/>
  <c r="D18" i="18"/>
  <c r="G15" i="18"/>
  <c r="G16" i="18" s="1"/>
  <c r="G17" i="18" s="1"/>
  <c r="G18" i="18" s="1"/>
  <c r="G19" i="18" s="1"/>
  <c r="G20" i="18" s="1"/>
  <c r="G21" i="18" s="1"/>
  <c r="G22" i="18" s="1"/>
  <c r="G23" i="18" s="1"/>
  <c r="G24" i="18" s="1"/>
  <c r="G25" i="18" s="1"/>
  <c r="G26" i="18" s="1"/>
  <c r="G27" i="18" s="1"/>
  <c r="G28" i="18" s="1"/>
  <c r="G29" i="18" s="1"/>
  <c r="G30" i="18" s="1"/>
  <c r="G31" i="18" s="1"/>
  <c r="G32" i="18" s="1"/>
  <c r="G33" i="18" s="1"/>
  <c r="G34" i="18" s="1"/>
  <c r="G35" i="18" s="1"/>
  <c r="G36" i="18" s="1"/>
  <c r="B11" i="18"/>
  <c r="D30" i="18" s="1"/>
  <c r="B10" i="18"/>
  <c r="E24" i="18" s="1"/>
  <c r="B9" i="18"/>
  <c r="F23" i="18" s="1"/>
  <c r="B7" i="18"/>
  <c r="B8" i="18" s="1"/>
  <c r="F21" i="18" s="1"/>
  <c r="B33" i="21" l="1"/>
  <c r="B36" i="21" s="1"/>
  <c r="D33" i="21"/>
  <c r="D36" i="21" s="1"/>
  <c r="C33" i="21"/>
  <c r="C36" i="21" s="1"/>
  <c r="E33" i="21"/>
  <c r="F48" i="21"/>
  <c r="F49" i="21" s="1"/>
  <c r="F50" i="21"/>
  <c r="F56" i="21"/>
  <c r="F57" i="21" s="1"/>
  <c r="F52" i="21"/>
  <c r="F53" i="21"/>
  <c r="F51" i="21"/>
  <c r="G37" i="18"/>
  <c r="G38" i="18" s="1"/>
  <c r="G39" i="18" s="1"/>
  <c r="G40" i="18" s="1"/>
  <c r="G41" i="18" s="1"/>
  <c r="G42" i="18" s="1"/>
  <c r="G43" i="18" s="1"/>
  <c r="G44" i="18" s="1"/>
  <c r="G45" i="18" s="1"/>
  <c r="G46" i="18" s="1"/>
  <c r="G47" i="18" s="1"/>
  <c r="G48" i="18" s="1"/>
  <c r="G49" i="18" s="1"/>
  <c r="F22" i="18"/>
  <c r="F25" i="18"/>
  <c r="B23" i="18"/>
  <c r="C23" i="18"/>
  <c r="F30" i="18"/>
  <c r="D23" i="18"/>
  <c r="B21" i="18"/>
  <c r="E23" i="18"/>
  <c r="C21" i="18"/>
  <c r="B30" i="18"/>
  <c r="D21" i="18"/>
  <c r="C30" i="18"/>
  <c r="E21" i="18"/>
  <c r="B40" i="21" l="1"/>
  <c r="B41" i="21"/>
  <c r="B46" i="21"/>
  <c r="B43" i="21"/>
  <c r="B39" i="21"/>
  <c r="B45" i="21"/>
  <c r="B44" i="21"/>
  <c r="B42" i="21"/>
  <c r="D40" i="21"/>
  <c r="D44" i="21"/>
  <c r="D46" i="21"/>
  <c r="D39" i="21"/>
  <c r="D45" i="21"/>
  <c r="D43" i="21"/>
  <c r="D41" i="21"/>
  <c r="D42" i="21"/>
  <c r="C40" i="21"/>
  <c r="C45" i="21"/>
  <c r="C44" i="21"/>
  <c r="C41" i="21"/>
  <c r="C46" i="21"/>
  <c r="C39" i="21"/>
  <c r="C42" i="21"/>
  <c r="C43" i="21"/>
  <c r="C50" i="21"/>
  <c r="C51" i="21" s="1"/>
  <c r="C48" i="21"/>
  <c r="C49" i="21" s="1"/>
  <c r="E48" i="21"/>
  <c r="E49" i="21" s="1"/>
  <c r="O31" i="21" s="1"/>
  <c r="E50" i="21"/>
  <c r="E51" i="21" s="1"/>
  <c r="O32" i="21" s="1"/>
  <c r="F58" i="21"/>
  <c r="F59" i="21" s="1"/>
  <c r="E58" i="21"/>
  <c r="E59" i="21" s="1"/>
  <c r="E56" i="21"/>
  <c r="E57" i="21" s="1"/>
  <c r="E52" i="21"/>
  <c r="E53" i="21" s="1"/>
  <c r="O33" i="21" s="1"/>
  <c r="C59" i="21"/>
  <c r="C55" i="21"/>
  <c r="C57" i="21"/>
  <c r="C53" i="21"/>
  <c r="B48" i="21"/>
  <c r="B49" i="21" s="1"/>
  <c r="B50" i="21"/>
  <c r="B51" i="21" s="1"/>
  <c r="O34" i="21"/>
  <c r="N22" i="21"/>
  <c r="D50" i="21"/>
  <c r="D51" i="21" s="1"/>
  <c r="D48" i="21"/>
  <c r="D49" i="21" s="1"/>
  <c r="D59" i="21"/>
  <c r="D55" i="21"/>
  <c r="D53" i="21"/>
  <c r="D57" i="21"/>
  <c r="B59" i="21"/>
  <c r="B55" i="21"/>
  <c r="B53" i="21"/>
  <c r="B57" i="21"/>
  <c r="D25" i="18"/>
  <c r="D22" i="18"/>
  <c r="D26" i="18" s="1"/>
  <c r="C25" i="18"/>
  <c r="C22" i="18"/>
  <c r="G50" i="18"/>
  <c r="G51" i="18" s="1"/>
  <c r="E25" i="18"/>
  <c r="E22" i="18"/>
  <c r="B22" i="18"/>
  <c r="C28" i="18" s="1"/>
  <c r="B25" i="18"/>
  <c r="F26" i="18"/>
  <c r="F27" i="18" s="1"/>
  <c r="B28" i="18" l="1"/>
  <c r="Q34" i="21"/>
  <c r="P34" i="21" s="1"/>
  <c r="Q32" i="21"/>
  <c r="P32" i="21" s="1"/>
  <c r="Q31" i="21"/>
  <c r="P31" i="21" s="1"/>
  <c r="Q33" i="21"/>
  <c r="P33" i="21" s="1"/>
  <c r="O36" i="21"/>
  <c r="Q36" i="21" s="1"/>
  <c r="P36" i="21" s="1"/>
  <c r="O35" i="21"/>
  <c r="Q35" i="21" s="1"/>
  <c r="P35" i="21" s="1"/>
  <c r="F35" i="18"/>
  <c r="B26" i="18"/>
  <c r="B27" i="18" s="1"/>
  <c r="D28" i="18"/>
  <c r="E27" i="18"/>
  <c r="G52" i="18"/>
  <c r="G53" i="18" s="1"/>
  <c r="C26" i="18"/>
  <c r="C27" i="18" s="1"/>
  <c r="E28" i="18"/>
  <c r="D27" i="18"/>
  <c r="C35" i="18" l="1"/>
  <c r="E35" i="18"/>
  <c r="E36" i="18"/>
  <c r="D35" i="18"/>
  <c r="G54" i="18"/>
  <c r="G55" i="18" s="1"/>
  <c r="B35" i="18"/>
  <c r="F56" i="18"/>
  <c r="F57" i="18" s="1"/>
  <c r="F52" i="18"/>
  <c r="F53" i="18" s="1"/>
  <c r="F50" i="18"/>
  <c r="F51" i="18" s="1"/>
  <c r="F48" i="18"/>
  <c r="F49" i="18" s="1"/>
  <c r="B48" i="18" l="1"/>
  <c r="B49" i="18" s="1"/>
  <c r="B50" i="18"/>
  <c r="B51" i="18" s="1"/>
  <c r="B36" i="18"/>
  <c r="B57" i="18"/>
  <c r="B53" i="18"/>
  <c r="B59" i="18"/>
  <c r="B55" i="18"/>
  <c r="G56" i="18"/>
  <c r="G57" i="18" s="1"/>
  <c r="O34" i="18"/>
  <c r="D57" i="18"/>
  <c r="D53" i="18"/>
  <c r="D36" i="18"/>
  <c r="D59" i="18"/>
  <c r="D55" i="18"/>
  <c r="D50" i="18"/>
  <c r="D51" i="18" s="1"/>
  <c r="D48" i="18"/>
  <c r="D49" i="18" s="1"/>
  <c r="E41" i="18"/>
  <c r="E34" i="18"/>
  <c r="E37" i="18" s="1"/>
  <c r="E46" i="18"/>
  <c r="E43" i="18"/>
  <c r="E44" i="18"/>
  <c r="E40" i="18"/>
  <c r="E45" i="18"/>
  <c r="E42" i="18"/>
  <c r="E39" i="18"/>
  <c r="N22" i="18"/>
  <c r="E50" i="18"/>
  <c r="E51" i="18" s="1"/>
  <c r="O32" i="18" s="1"/>
  <c r="E56" i="18"/>
  <c r="E57" i="18" s="1"/>
  <c r="E52" i="18"/>
  <c r="E53" i="18" s="1"/>
  <c r="O33" i="18" s="1"/>
  <c r="E48" i="18"/>
  <c r="E49" i="18" s="1"/>
  <c r="O31" i="18" s="1"/>
  <c r="F58" i="18"/>
  <c r="F59" i="18" s="1"/>
  <c r="E58" i="18"/>
  <c r="E59" i="18" s="1"/>
  <c r="C57" i="18"/>
  <c r="C53" i="18"/>
  <c r="C36" i="18"/>
  <c r="C59" i="18"/>
  <c r="C55" i="18"/>
  <c r="C50" i="18"/>
  <c r="C51" i="18" s="1"/>
  <c r="C48" i="18"/>
  <c r="C49" i="18" s="1"/>
  <c r="Q31" i="18" l="1"/>
  <c r="P31" i="18" s="1"/>
  <c r="D44" i="18"/>
  <c r="D41" i="18"/>
  <c r="D34" i="18"/>
  <c r="D37" i="18" s="1"/>
  <c r="D46" i="18"/>
  <c r="D43" i="18"/>
  <c r="D40" i="18"/>
  <c r="D39" i="18"/>
  <c r="D45" i="18"/>
  <c r="D42" i="18"/>
  <c r="Q34" i="18"/>
  <c r="P34" i="18" s="1"/>
  <c r="O35" i="18"/>
  <c r="Q35" i="18" s="1"/>
  <c r="P35" i="18" s="1"/>
  <c r="G58" i="18"/>
  <c r="G59" i="18" s="1"/>
  <c r="O36" i="18" s="1"/>
  <c r="Q36" i="18" s="1"/>
  <c r="P36" i="18" s="1"/>
  <c r="Q32" i="18"/>
  <c r="P32" i="18" s="1"/>
  <c r="C44" i="18"/>
  <c r="C41" i="18"/>
  <c r="C34" i="18"/>
  <c r="C37" i="18" s="1"/>
  <c r="C39" i="18"/>
  <c r="C46" i="18"/>
  <c r="C43" i="18"/>
  <c r="C40" i="18"/>
  <c r="C45" i="18"/>
  <c r="C42" i="18"/>
  <c r="B39" i="18"/>
  <c r="B42" i="18"/>
  <c r="B44" i="18"/>
  <c r="B41" i="18"/>
  <c r="B34" i="18"/>
  <c r="B37" i="18" s="1"/>
  <c r="B46" i="18"/>
  <c r="B43" i="18"/>
  <c r="B40" i="18"/>
  <c r="B45" i="18"/>
  <c r="Q33" i="18"/>
  <c r="P33" i="18" s="1"/>
  <c r="E45" i="11" l="1"/>
  <c r="F34" i="2"/>
  <c r="F37" i="2" s="1"/>
  <c r="B161" i="4"/>
  <c r="F46" i="4" s="1"/>
  <c r="B160" i="4"/>
  <c r="B159" i="4"/>
  <c r="F44" i="4" s="1"/>
  <c r="B158" i="4"/>
  <c r="B157" i="4"/>
  <c r="B156" i="4"/>
  <c r="B155" i="4"/>
  <c r="B154" i="4"/>
  <c r="F46" i="2"/>
  <c r="B161" i="11"/>
  <c r="F46" i="11" s="1"/>
  <c r="B160" i="11"/>
  <c r="B159" i="11"/>
  <c r="B158" i="11"/>
  <c r="B157" i="11"/>
  <c r="B156" i="11"/>
  <c r="B155" i="11"/>
  <c r="B154" i="11"/>
  <c r="E42" i="11" l="1"/>
  <c r="F42" i="11"/>
  <c r="F39" i="2"/>
  <c r="F42" i="2"/>
  <c r="F40" i="4"/>
  <c r="F45" i="11"/>
  <c r="F43" i="4"/>
  <c r="E46" i="11"/>
  <c r="F41" i="11"/>
  <c r="F44" i="11"/>
  <c r="E41" i="11"/>
  <c r="E44" i="11"/>
  <c r="F41" i="2"/>
  <c r="F45" i="4"/>
  <c r="F44" i="2"/>
  <c r="F42" i="4"/>
  <c r="F39" i="11"/>
  <c r="F40" i="11"/>
  <c r="E39" i="11"/>
  <c r="F43" i="11"/>
  <c r="E40" i="11"/>
  <c r="F45" i="2"/>
  <c r="E43" i="11"/>
  <c r="F40" i="2"/>
  <c r="F43" i="2"/>
  <c r="F39" i="4"/>
  <c r="F41" i="4"/>
  <c r="B2" i="17" l="1"/>
  <c r="B153" i="11" s="1"/>
  <c r="C2" i="17"/>
  <c r="F34" i="11" l="1"/>
  <c r="F37" i="11" s="1"/>
  <c r="E34" i="11"/>
  <c r="E37" i="11" s="1"/>
  <c r="B153" i="21"/>
  <c r="B153" i="4"/>
  <c r="F34" i="4" s="1"/>
  <c r="F37" i="4" s="1"/>
  <c r="C7" i="9"/>
  <c r="C6" i="9"/>
  <c r="C3" i="9"/>
  <c r="C4" i="9"/>
  <c r="F34" i="21" l="1"/>
  <c r="F37" i="21" s="1"/>
  <c r="E34" i="21"/>
  <c r="E37" i="21" s="1"/>
  <c r="D34" i="21"/>
  <c r="D37" i="21" s="1"/>
  <c r="B34" i="21"/>
  <c r="B37" i="21" s="1"/>
  <c r="C34" i="21"/>
  <c r="C37" i="21" s="1"/>
  <c r="B17" i="14"/>
  <c r="B18" i="14" s="1"/>
  <c r="D8" i="9"/>
  <c r="E8" i="9" s="1"/>
  <c r="A8" i="9"/>
  <c r="D7" i="9"/>
  <c r="E7" i="9" s="1"/>
  <c r="A136" i="4"/>
  <c r="A128" i="2"/>
  <c r="A136" i="11"/>
  <c r="B96" i="11"/>
  <c r="B18" i="11" s="1"/>
  <c r="B7" i="11"/>
  <c r="B8" i="11" s="1"/>
  <c r="B9" i="11"/>
  <c r="B23" i="11" s="1"/>
  <c r="B24" i="11"/>
  <c r="C24" i="11"/>
  <c r="D24" i="11"/>
  <c r="B10" i="11"/>
  <c r="E24" i="11" s="1"/>
  <c r="C96" i="11"/>
  <c r="C18" i="11" s="1"/>
  <c r="D18" i="11"/>
  <c r="G15" i="4"/>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B7" i="2"/>
  <c r="B8" i="2" s="1"/>
  <c r="B9" i="2"/>
  <c r="E23" i="2" s="1"/>
  <c r="C24" i="2"/>
  <c r="B24" i="2"/>
  <c r="D24" i="2"/>
  <c r="B10" i="2"/>
  <c r="E24" i="2" s="1"/>
  <c r="G15" i="2"/>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15" i="1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A130" i="4"/>
  <c r="A131" i="4"/>
  <c r="A132" i="4"/>
  <c r="A133" i="4"/>
  <c r="A134" i="4"/>
  <c r="A135" i="4"/>
  <c r="A122" i="2"/>
  <c r="A123" i="2"/>
  <c r="A124" i="2"/>
  <c r="A125" i="2"/>
  <c r="A126" i="2"/>
  <c r="A127" i="2"/>
  <c r="A130" i="11"/>
  <c r="A131" i="11"/>
  <c r="A132" i="11"/>
  <c r="A133" i="11"/>
  <c r="A134" i="11"/>
  <c r="A135" i="11"/>
  <c r="D10" i="9"/>
  <c r="E10" i="9" s="1"/>
  <c r="A10" i="9"/>
  <c r="A80" i="4"/>
  <c r="A81" i="4"/>
  <c r="A82" i="4"/>
  <c r="A83" i="4"/>
  <c r="A84" i="4"/>
  <c r="A85" i="4"/>
  <c r="A86" i="4"/>
  <c r="A87" i="4"/>
  <c r="A88" i="4"/>
  <c r="A89" i="4"/>
  <c r="A90" i="4"/>
  <c r="E30" i="11"/>
  <c r="C72" i="4"/>
  <c r="D72" i="4"/>
  <c r="E72" i="4"/>
  <c r="F72" i="4"/>
  <c r="C73" i="4"/>
  <c r="D73" i="4"/>
  <c r="E73" i="4"/>
  <c r="F73" i="4"/>
  <c r="C74" i="4"/>
  <c r="D74" i="4"/>
  <c r="E74" i="4"/>
  <c r="F74" i="4"/>
  <c r="C75" i="4"/>
  <c r="D75" i="4"/>
  <c r="E75" i="4"/>
  <c r="F75" i="4"/>
  <c r="B73" i="4"/>
  <c r="B74" i="4"/>
  <c r="B75" i="4"/>
  <c r="A73" i="4"/>
  <c r="A74" i="4"/>
  <c r="A75" i="4"/>
  <c r="C73" i="2"/>
  <c r="D73" i="2"/>
  <c r="E73" i="2"/>
  <c r="F73" i="2"/>
  <c r="C74" i="2"/>
  <c r="D74" i="2"/>
  <c r="E74" i="2"/>
  <c r="F74" i="2"/>
  <c r="C75" i="2"/>
  <c r="D75" i="2"/>
  <c r="E75" i="2"/>
  <c r="F75" i="2"/>
  <c r="B74" i="2"/>
  <c r="B75" i="2"/>
  <c r="B73" i="2"/>
  <c r="A73" i="2"/>
  <c r="A74" i="2"/>
  <c r="A75" i="2"/>
  <c r="B74" i="11"/>
  <c r="C74" i="11"/>
  <c r="D74" i="11"/>
  <c r="E74" i="11"/>
  <c r="F74" i="11"/>
  <c r="B75" i="11"/>
  <c r="C75" i="11"/>
  <c r="D75" i="11"/>
  <c r="E75" i="11"/>
  <c r="F75" i="11"/>
  <c r="C73" i="11"/>
  <c r="D73" i="11"/>
  <c r="E73" i="11"/>
  <c r="F73" i="11"/>
  <c r="B73" i="11"/>
  <c r="A73" i="11"/>
  <c r="A74" i="11"/>
  <c r="A75" i="11"/>
  <c r="A149" i="4"/>
  <c r="A148" i="4"/>
  <c r="A147" i="4"/>
  <c r="A146" i="4"/>
  <c r="A145" i="4"/>
  <c r="A144" i="4"/>
  <c r="A143" i="4"/>
  <c r="A142" i="4"/>
  <c r="A141" i="4"/>
  <c r="A140" i="4"/>
  <c r="A139" i="4"/>
  <c r="A138" i="4"/>
  <c r="A129" i="4"/>
  <c r="A141" i="2"/>
  <c r="A140" i="2"/>
  <c r="A139" i="2"/>
  <c r="A138" i="2"/>
  <c r="A137" i="2"/>
  <c r="A136" i="2"/>
  <c r="A135" i="2"/>
  <c r="A134" i="2"/>
  <c r="A133" i="2"/>
  <c r="A132" i="2"/>
  <c r="A131" i="2"/>
  <c r="A130" i="2"/>
  <c r="A121" i="2"/>
  <c r="A148" i="11"/>
  <c r="A149" i="11"/>
  <c r="A141" i="11"/>
  <c r="A142" i="11"/>
  <c r="A143" i="11"/>
  <c r="A144" i="11"/>
  <c r="A145" i="11"/>
  <c r="A146" i="11"/>
  <c r="A147" i="11"/>
  <c r="A140" i="11"/>
  <c r="A139" i="11"/>
  <c r="A138" i="11"/>
  <c r="A129" i="11"/>
  <c r="C89" i="2"/>
  <c r="C88" i="2"/>
  <c r="D88" i="2"/>
  <c r="D89" i="2"/>
  <c r="E88" i="2"/>
  <c r="E89" i="2"/>
  <c r="F89" i="2"/>
  <c r="F88" i="2"/>
  <c r="F18" i="2" s="1"/>
  <c r="B85" i="2"/>
  <c r="B86" i="2"/>
  <c r="B88" i="2"/>
  <c r="D3" i="9"/>
  <c r="E3" i="9" s="1"/>
  <c r="M36" i="11"/>
  <c r="M35" i="11"/>
  <c r="M34" i="11"/>
  <c r="M33" i="11"/>
  <c r="M32" i="11"/>
  <c r="M31" i="11"/>
  <c r="M36" i="2"/>
  <c r="M35" i="2"/>
  <c r="M34" i="2"/>
  <c r="M33" i="2"/>
  <c r="M32" i="2"/>
  <c r="M31" i="2"/>
  <c r="L36" i="4"/>
  <c r="L35" i="4"/>
  <c r="L34" i="4"/>
  <c r="L33" i="4"/>
  <c r="L32" i="4"/>
  <c r="L31" i="4"/>
  <c r="D18" i="2"/>
  <c r="B93" i="4"/>
  <c r="C93" i="4"/>
  <c r="B94" i="4"/>
  <c r="C94" i="4"/>
  <c r="B96" i="4"/>
  <c r="B18" i="4" s="1"/>
  <c r="C96" i="4"/>
  <c r="C18" i="4" s="1"/>
  <c r="B97" i="4"/>
  <c r="C97" i="4"/>
  <c r="B7" i="4"/>
  <c r="B8" i="4" s="1"/>
  <c r="B9" i="4"/>
  <c r="C23" i="4" s="1"/>
  <c r="B24" i="4"/>
  <c r="C24" i="4"/>
  <c r="D24" i="4"/>
  <c r="B10" i="4"/>
  <c r="E24" i="4" s="1"/>
  <c r="B61" i="4"/>
  <c r="C61" i="4"/>
  <c r="B62" i="4"/>
  <c r="C62" i="4"/>
  <c r="B63" i="4"/>
  <c r="C63" i="4"/>
  <c r="B64" i="4"/>
  <c r="C64" i="4"/>
  <c r="B65" i="4"/>
  <c r="C65" i="4"/>
  <c r="B66" i="4"/>
  <c r="C66" i="4"/>
  <c r="B67" i="4"/>
  <c r="C67" i="4"/>
  <c r="B68" i="4"/>
  <c r="C68" i="4"/>
  <c r="B69" i="4"/>
  <c r="C69" i="4"/>
  <c r="B70" i="4"/>
  <c r="C70" i="4"/>
  <c r="B71" i="4"/>
  <c r="C71" i="4"/>
  <c r="B72" i="4"/>
  <c r="E18" i="2"/>
  <c r="B61" i="2"/>
  <c r="C61" i="2"/>
  <c r="B62" i="2"/>
  <c r="C62" i="2"/>
  <c r="B63" i="2"/>
  <c r="C63" i="2"/>
  <c r="B64" i="2"/>
  <c r="C64" i="2"/>
  <c r="B65" i="2"/>
  <c r="C65" i="2"/>
  <c r="B66" i="2"/>
  <c r="C66" i="2"/>
  <c r="B67" i="2"/>
  <c r="C67" i="2"/>
  <c r="B68" i="2"/>
  <c r="C68" i="2"/>
  <c r="B69" i="2"/>
  <c r="C69" i="2"/>
  <c r="B70" i="2"/>
  <c r="C70" i="2"/>
  <c r="B71" i="2"/>
  <c r="C71" i="2"/>
  <c r="B72" i="2"/>
  <c r="C72" i="2"/>
  <c r="B89" i="2"/>
  <c r="C85" i="2"/>
  <c r="C86" i="2"/>
  <c r="C61" i="11"/>
  <c r="C62" i="11"/>
  <c r="C63" i="11"/>
  <c r="C64" i="11"/>
  <c r="C65" i="11"/>
  <c r="C66" i="11"/>
  <c r="C67" i="11"/>
  <c r="C68" i="11"/>
  <c r="C69" i="11"/>
  <c r="C70" i="11"/>
  <c r="C71" i="11"/>
  <c r="C72" i="11"/>
  <c r="C97" i="11"/>
  <c r="C93" i="11"/>
  <c r="C94" i="11"/>
  <c r="B11" i="2"/>
  <c r="C30" i="2" s="1"/>
  <c r="D4" i="9"/>
  <c r="E4" i="9" s="1"/>
  <c r="F97" i="11"/>
  <c r="E97" i="11"/>
  <c r="D97" i="11"/>
  <c r="B97" i="11"/>
  <c r="F96" i="11"/>
  <c r="F18" i="11" s="1"/>
  <c r="E96" i="11"/>
  <c r="D96" i="11"/>
  <c r="F94" i="11"/>
  <c r="E94" i="11"/>
  <c r="D94" i="11"/>
  <c r="B94" i="11"/>
  <c r="F93" i="11"/>
  <c r="E93" i="11"/>
  <c r="D93" i="11"/>
  <c r="B93" i="11"/>
  <c r="F72" i="11"/>
  <c r="E72" i="11"/>
  <c r="D72" i="11"/>
  <c r="B72" i="11"/>
  <c r="A72" i="11"/>
  <c r="F71" i="11"/>
  <c r="E71" i="11"/>
  <c r="D71" i="11"/>
  <c r="B71" i="11"/>
  <c r="A71" i="11"/>
  <c r="F70" i="11"/>
  <c r="E70" i="11"/>
  <c r="D70" i="11"/>
  <c r="B70" i="11"/>
  <c r="A70" i="11"/>
  <c r="F69" i="11"/>
  <c r="E69" i="11"/>
  <c r="D69" i="11"/>
  <c r="B69" i="11"/>
  <c r="A69" i="11"/>
  <c r="F68" i="11"/>
  <c r="E68" i="11"/>
  <c r="D68" i="11"/>
  <c r="B68" i="11"/>
  <c r="A68" i="11"/>
  <c r="F67" i="11"/>
  <c r="E67" i="11"/>
  <c r="D67" i="11"/>
  <c r="B67" i="11"/>
  <c r="A67" i="11"/>
  <c r="F66" i="11"/>
  <c r="E66" i="11"/>
  <c r="D66" i="11"/>
  <c r="B66" i="11"/>
  <c r="A66" i="11"/>
  <c r="F65" i="11"/>
  <c r="E65" i="11"/>
  <c r="D65" i="11"/>
  <c r="B65" i="11"/>
  <c r="A65" i="11"/>
  <c r="F64" i="11"/>
  <c r="E64" i="11"/>
  <c r="D64" i="11"/>
  <c r="B64" i="11"/>
  <c r="A64" i="11"/>
  <c r="F63" i="11"/>
  <c r="E63" i="11"/>
  <c r="D63" i="11"/>
  <c r="B63" i="11"/>
  <c r="A63" i="11"/>
  <c r="F62" i="11"/>
  <c r="E62" i="11"/>
  <c r="D62" i="11"/>
  <c r="B62" i="11"/>
  <c r="A62" i="11"/>
  <c r="F61" i="11"/>
  <c r="E61" i="11"/>
  <c r="D61" i="11"/>
  <c r="B61" i="11"/>
  <c r="A61" i="11"/>
  <c r="E26" i="11"/>
  <c r="F24" i="11"/>
  <c r="F19" i="11"/>
  <c r="E18" i="11"/>
  <c r="B11" i="11"/>
  <c r="D30" i="11" s="1"/>
  <c r="B3" i="4"/>
  <c r="D86" i="2"/>
  <c r="D85" i="2"/>
  <c r="D72" i="2"/>
  <c r="D71" i="2"/>
  <c r="D70" i="2"/>
  <c r="D69" i="2"/>
  <c r="D68" i="2"/>
  <c r="D67" i="2"/>
  <c r="D66" i="2"/>
  <c r="D65" i="2"/>
  <c r="D64" i="2"/>
  <c r="D62" i="2"/>
  <c r="D63" i="2"/>
  <c r="D61" i="2"/>
  <c r="E26" i="2"/>
  <c r="D18" i="4"/>
  <c r="F55" i="2"/>
  <c r="E55" i="2"/>
  <c r="E64" i="4"/>
  <c r="F64" i="4"/>
  <c r="F64" i="2"/>
  <c r="E64" i="2"/>
  <c r="E85" i="2" s="1"/>
  <c r="D66" i="4"/>
  <c r="E66" i="4"/>
  <c r="F66" i="4"/>
  <c r="D67" i="4"/>
  <c r="E67" i="4"/>
  <c r="F67" i="4"/>
  <c r="D68" i="4"/>
  <c r="E68" i="4"/>
  <c r="F68" i="4"/>
  <c r="D69" i="4"/>
  <c r="E69" i="4"/>
  <c r="F69" i="4"/>
  <c r="D70" i="4"/>
  <c r="E70" i="4"/>
  <c r="F70" i="4"/>
  <c r="D71" i="4"/>
  <c r="E71" i="4"/>
  <c r="F71" i="4"/>
  <c r="E65" i="4"/>
  <c r="F65" i="4"/>
  <c r="D65" i="4"/>
  <c r="F62" i="2"/>
  <c r="E62" i="2"/>
  <c r="D64" i="4"/>
  <c r="E62" i="4"/>
  <c r="F62" i="4"/>
  <c r="D62" i="4"/>
  <c r="F65" i="2"/>
  <c r="F66" i="2"/>
  <c r="F67" i="2"/>
  <c r="F68" i="2"/>
  <c r="F69" i="2"/>
  <c r="F70" i="2"/>
  <c r="F71" i="2"/>
  <c r="F72" i="2"/>
  <c r="E66" i="2"/>
  <c r="E67" i="2"/>
  <c r="E68" i="2"/>
  <c r="E69" i="2"/>
  <c r="E70" i="2"/>
  <c r="E71" i="2"/>
  <c r="E72" i="2"/>
  <c r="E65" i="2"/>
  <c r="E86" i="2" s="1"/>
  <c r="B11" i="4"/>
  <c r="F30" i="4" s="1"/>
  <c r="E30" i="4"/>
  <c r="E26" i="4"/>
  <c r="F24" i="4"/>
  <c r="E30" i="2"/>
  <c r="E61" i="4"/>
  <c r="F61" i="4"/>
  <c r="E63" i="4"/>
  <c r="F63" i="4"/>
  <c r="F19" i="4"/>
  <c r="E18" i="4"/>
  <c r="F97" i="4"/>
  <c r="F96" i="4"/>
  <c r="F18" i="4" s="1"/>
  <c r="F94" i="4"/>
  <c r="F93" i="4"/>
  <c r="F61" i="2"/>
  <c r="F63" i="2"/>
  <c r="F19" i="2"/>
  <c r="F24" i="2"/>
  <c r="F86" i="2"/>
  <c r="F85" i="2"/>
  <c r="D6" i="9"/>
  <c r="E6" i="9" s="1"/>
  <c r="E93" i="4"/>
  <c r="E94" i="4"/>
  <c r="D93" i="4"/>
  <c r="D94" i="4"/>
  <c r="E96" i="4"/>
  <c r="E97" i="4"/>
  <c r="D96" i="4"/>
  <c r="D97" i="4"/>
  <c r="A72" i="4"/>
  <c r="A71" i="4"/>
  <c r="A70" i="4"/>
  <c r="A69" i="4"/>
  <c r="A68" i="4"/>
  <c r="A67" i="4"/>
  <c r="A66" i="4"/>
  <c r="A65" i="4"/>
  <c r="A64" i="4"/>
  <c r="D63" i="4"/>
  <c r="A63" i="4"/>
  <c r="A62" i="4"/>
  <c r="D61" i="4"/>
  <c r="A61" i="4"/>
  <c r="A72" i="2"/>
  <c r="A71" i="2"/>
  <c r="A70" i="2"/>
  <c r="A69" i="2"/>
  <c r="A68" i="2"/>
  <c r="A67" i="2"/>
  <c r="A66" i="2"/>
  <c r="A65" i="2"/>
  <c r="A64" i="2"/>
  <c r="E63" i="2"/>
  <c r="A63" i="2"/>
  <c r="A62" i="2"/>
  <c r="E61" i="2"/>
  <c r="A61" i="2"/>
  <c r="B30" i="2"/>
  <c r="E23" i="4"/>
  <c r="B27" i="14" l="1"/>
  <c r="F23" i="11"/>
  <c r="E23" i="11"/>
  <c r="D23" i="11"/>
  <c r="C23" i="11"/>
  <c r="F30" i="2"/>
  <c r="F23" i="2"/>
  <c r="D23" i="2"/>
  <c r="B23" i="2"/>
  <c r="F21" i="2"/>
  <c r="F22" i="2" s="1"/>
  <c r="F26" i="2" s="1"/>
  <c r="F27" i="2" s="1"/>
  <c r="D30" i="4"/>
  <c r="D30" i="2"/>
  <c r="B30" i="4"/>
  <c r="C30" i="4"/>
  <c r="C23" i="2"/>
  <c r="F25" i="2"/>
  <c r="F21" i="11"/>
  <c r="F22" i="11" s="1"/>
  <c r="D21" i="11"/>
  <c r="D25" i="11" s="1"/>
  <c r="B21" i="11"/>
  <c r="E21" i="11"/>
  <c r="E25" i="11" s="1"/>
  <c r="E27" i="11" s="1"/>
  <c r="C21" i="11"/>
  <c r="B23" i="4"/>
  <c r="B30" i="11"/>
  <c r="D21" i="2"/>
  <c r="C21" i="2"/>
  <c r="E21" i="2"/>
  <c r="B21" i="2"/>
  <c r="F21" i="4"/>
  <c r="D21" i="4"/>
  <c r="B21" i="4"/>
  <c r="E21" i="4"/>
  <c r="C21" i="4"/>
  <c r="C30" i="11"/>
  <c r="F23" i="4"/>
  <c r="D23" i="4"/>
  <c r="F30" i="11"/>
  <c r="D22" i="11" l="1"/>
  <c r="D26" i="11" s="1"/>
  <c r="D27" i="11" s="1"/>
  <c r="F25" i="11"/>
  <c r="E22" i="11"/>
  <c r="C22" i="11"/>
  <c r="C25" i="11"/>
  <c r="B22" i="11"/>
  <c r="B25" i="11"/>
  <c r="C28" i="11"/>
  <c r="F26" i="11"/>
  <c r="F27" i="11" s="1"/>
  <c r="D25" i="4"/>
  <c r="D22" i="4"/>
  <c r="D26" i="4" s="1"/>
  <c r="C25" i="4"/>
  <c r="C22" i="4"/>
  <c r="B22" i="4"/>
  <c r="B25" i="4"/>
  <c r="F22" i="4"/>
  <c r="F25" i="4"/>
  <c r="B25" i="2"/>
  <c r="B22" i="2"/>
  <c r="E22" i="2"/>
  <c r="E25" i="2"/>
  <c r="B28" i="11"/>
  <c r="C22" i="2"/>
  <c r="C25" i="2"/>
  <c r="E25" i="4"/>
  <c r="E22" i="4"/>
  <c r="D25" i="2"/>
  <c r="D22" i="2"/>
  <c r="D26" i="2" s="1"/>
  <c r="B28" i="4" l="1"/>
  <c r="B32" i="11"/>
  <c r="E32" i="11"/>
  <c r="B26" i="11"/>
  <c r="B27" i="11" s="1"/>
  <c r="D28" i="11"/>
  <c r="C32" i="11"/>
  <c r="E28" i="11"/>
  <c r="C26" i="11"/>
  <c r="C27" i="11" s="1"/>
  <c r="D32" i="11"/>
  <c r="B28" i="2"/>
  <c r="F32" i="11"/>
  <c r="C32" i="4"/>
  <c r="E27" i="2"/>
  <c r="D27" i="4"/>
  <c r="D32" i="4"/>
  <c r="B26" i="2"/>
  <c r="B27" i="2" s="1"/>
  <c r="D28" i="2"/>
  <c r="C28" i="2"/>
  <c r="C26" i="4"/>
  <c r="C27" i="4" s="1"/>
  <c r="E28" i="4"/>
  <c r="F32" i="4"/>
  <c r="E28" i="2"/>
  <c r="C26" i="2"/>
  <c r="C27" i="2" s="1"/>
  <c r="D27" i="2"/>
  <c r="C28" i="4"/>
  <c r="F26" i="4"/>
  <c r="F27" i="4" s="1"/>
  <c r="B32" i="4"/>
  <c r="E27" i="4"/>
  <c r="E32" i="4"/>
  <c r="D28" i="4"/>
  <c r="B26" i="4"/>
  <c r="B27" i="4" s="1"/>
  <c r="F35" i="11" l="1"/>
  <c r="F33" i="11"/>
  <c r="D35" i="11"/>
  <c r="D33" i="11"/>
  <c r="C33" i="11"/>
  <c r="C35" i="11"/>
  <c r="E35" i="11"/>
  <c r="N22" i="11" s="1"/>
  <c r="E33" i="11"/>
  <c r="B35" i="11"/>
  <c r="B33" i="11"/>
  <c r="F35" i="2"/>
  <c r="B35" i="2"/>
  <c r="D35" i="4"/>
  <c r="D33" i="4"/>
  <c r="F35" i="4"/>
  <c r="F33" i="4"/>
  <c r="D35" i="2"/>
  <c r="C35" i="2"/>
  <c r="E36" i="2"/>
  <c r="E35" i="2"/>
  <c r="B33" i="4"/>
  <c r="B35" i="4"/>
  <c r="C33" i="4"/>
  <c r="C35" i="4"/>
  <c r="E33" i="4"/>
  <c r="E36" i="4" s="1"/>
  <c r="E35" i="4"/>
  <c r="E45" i="4" l="1"/>
  <c r="E46" i="4"/>
  <c r="E34" i="4"/>
  <c r="E37" i="4" s="1"/>
  <c r="E39" i="4"/>
  <c r="E41" i="4"/>
  <c r="E40" i="4"/>
  <c r="E44" i="4"/>
  <c r="E42" i="4"/>
  <c r="E43" i="4"/>
  <c r="E45" i="2"/>
  <c r="E34" i="2"/>
  <c r="E37" i="2" s="1"/>
  <c r="E43" i="2"/>
  <c r="E42" i="2"/>
  <c r="E41" i="2"/>
  <c r="E44" i="2"/>
  <c r="E40" i="2"/>
  <c r="E39" i="2"/>
  <c r="E46" i="2"/>
  <c r="B36" i="11"/>
  <c r="B53" i="11"/>
  <c r="B50" i="11"/>
  <c r="B51" i="11" s="1"/>
  <c r="B48" i="11"/>
  <c r="B49" i="11" s="1"/>
  <c r="B58" i="11"/>
  <c r="B59" i="11" s="1"/>
  <c r="E50" i="11"/>
  <c r="E51" i="11" s="1"/>
  <c r="O32" i="11" s="1"/>
  <c r="Q32" i="11" s="1"/>
  <c r="P32" i="11" s="1"/>
  <c r="E58" i="11"/>
  <c r="E59" i="11" s="1"/>
  <c r="E52" i="11"/>
  <c r="E53" i="11" s="1"/>
  <c r="O33" i="11" s="1"/>
  <c r="Q33" i="11" s="1"/>
  <c r="P33" i="11" s="1"/>
  <c r="E48" i="11"/>
  <c r="E49" i="11" s="1"/>
  <c r="O31" i="11" s="1"/>
  <c r="Q31" i="11" s="1"/>
  <c r="P31" i="11" s="1"/>
  <c r="C50" i="11"/>
  <c r="C51" i="11" s="1"/>
  <c r="C58" i="11"/>
  <c r="C59" i="11" s="1"/>
  <c r="C48" i="11"/>
  <c r="C49" i="11" s="1"/>
  <c r="C53" i="11"/>
  <c r="C36" i="11"/>
  <c r="D53" i="11"/>
  <c r="D36" i="11"/>
  <c r="D59" i="11"/>
  <c r="D48" i="11"/>
  <c r="D49" i="11" s="1"/>
  <c r="D50" i="11"/>
  <c r="D51" i="11" s="1"/>
  <c r="F58" i="11"/>
  <c r="F59" i="11" s="1"/>
  <c r="F52" i="11"/>
  <c r="F53" i="11" s="1"/>
  <c r="F50" i="11"/>
  <c r="F51" i="11" s="1"/>
  <c r="F48" i="11"/>
  <c r="F49" i="11" s="1"/>
  <c r="C53" i="4"/>
  <c r="C57" i="4"/>
  <c r="C36" i="4"/>
  <c r="C59" i="4"/>
  <c r="C55" i="4"/>
  <c r="F58" i="2"/>
  <c r="F59" i="2" s="1"/>
  <c r="E48" i="2"/>
  <c r="E50" i="2"/>
  <c r="E58" i="2"/>
  <c r="E59" i="2" s="1"/>
  <c r="O36" i="2" s="1"/>
  <c r="E52" i="2"/>
  <c r="E56" i="2"/>
  <c r="E57" i="2" s="1"/>
  <c r="O35" i="2" s="1"/>
  <c r="B59" i="4"/>
  <c r="B55" i="4"/>
  <c r="B36" i="4"/>
  <c r="B53" i="4"/>
  <c r="B57" i="4"/>
  <c r="N35" i="4" s="1"/>
  <c r="C48" i="2"/>
  <c r="C49" i="2" s="1"/>
  <c r="C50" i="2"/>
  <c r="C51" i="2" s="1"/>
  <c r="N22" i="2"/>
  <c r="C59" i="2"/>
  <c r="C53" i="2"/>
  <c r="C55" i="2"/>
  <c r="C36" i="2"/>
  <c r="C57" i="2"/>
  <c r="D55" i="2"/>
  <c r="D57" i="2"/>
  <c r="D53" i="2"/>
  <c r="D59" i="2"/>
  <c r="D36" i="2"/>
  <c r="D55" i="4"/>
  <c r="D57" i="4"/>
  <c r="D36" i="4"/>
  <c r="D53" i="4"/>
  <c r="D59" i="4"/>
  <c r="B50" i="2"/>
  <c r="B51" i="2" s="1"/>
  <c r="B48" i="2"/>
  <c r="B49" i="2" s="1"/>
  <c r="B57" i="2"/>
  <c r="B55" i="2"/>
  <c r="B53" i="2"/>
  <c r="B36" i="2"/>
  <c r="B59" i="2"/>
  <c r="D50" i="4"/>
  <c r="D51" i="4" s="1"/>
  <c r="D48" i="4"/>
  <c r="D49" i="4" s="1"/>
  <c r="O34" i="11"/>
  <c r="Q34" i="11" s="1"/>
  <c r="P34" i="11" s="1"/>
  <c r="E56" i="4"/>
  <c r="E57" i="4" s="1"/>
  <c r="E58" i="4"/>
  <c r="E59" i="4" s="1"/>
  <c r="E48" i="4"/>
  <c r="E49" i="4" s="1"/>
  <c r="E54" i="4"/>
  <c r="E52" i="4"/>
  <c r="E53" i="4" s="1"/>
  <c r="E50" i="4"/>
  <c r="E51" i="4" s="1"/>
  <c r="B48" i="4"/>
  <c r="B50" i="4"/>
  <c r="D48" i="2"/>
  <c r="D49" i="2" s="1"/>
  <c r="D50" i="2"/>
  <c r="D51" i="2" s="1"/>
  <c r="F56" i="4"/>
  <c r="F57" i="4" s="1"/>
  <c r="F52" i="4"/>
  <c r="F53" i="4" s="1"/>
  <c r="F48" i="4"/>
  <c r="F49" i="4" s="1"/>
  <c r="F50" i="4"/>
  <c r="F51" i="4" s="1"/>
  <c r="F58" i="4"/>
  <c r="F59" i="4" s="1"/>
  <c r="F54" i="4"/>
  <c r="F55" i="4" s="1"/>
  <c r="C48" i="4"/>
  <c r="C49" i="4" s="1"/>
  <c r="C50" i="4"/>
  <c r="C51" i="4" s="1"/>
  <c r="F52" i="2"/>
  <c r="F53" i="2" s="1"/>
  <c r="F48" i="2"/>
  <c r="F49" i="2" s="1"/>
  <c r="F50" i="2"/>
  <c r="F51" i="2" s="1"/>
  <c r="F56" i="2"/>
  <c r="F57" i="2" s="1"/>
  <c r="C43" i="11" l="1"/>
  <c r="C41" i="11"/>
  <c r="C46" i="11"/>
  <c r="C40" i="11"/>
  <c r="C39" i="11"/>
  <c r="C45" i="11"/>
  <c r="C42" i="11"/>
  <c r="C44" i="11"/>
  <c r="C34" i="11"/>
  <c r="C37" i="11" s="1"/>
  <c r="B42" i="4"/>
  <c r="B45" i="4"/>
  <c r="B41" i="4"/>
  <c r="B43" i="4"/>
  <c r="B40" i="4"/>
  <c r="B46" i="4"/>
  <c r="B34" i="4"/>
  <c r="B37" i="4" s="1"/>
  <c r="B44" i="4"/>
  <c r="B39" i="4"/>
  <c r="C41" i="4"/>
  <c r="C39" i="4"/>
  <c r="C40" i="4"/>
  <c r="C34" i="4"/>
  <c r="C37" i="4" s="1"/>
  <c r="C44" i="4"/>
  <c r="C43" i="4"/>
  <c r="C42" i="4"/>
  <c r="C46" i="4"/>
  <c r="C45" i="4"/>
  <c r="B43" i="11"/>
  <c r="B41" i="11"/>
  <c r="B44" i="11"/>
  <c r="B46" i="11"/>
  <c r="B34" i="11"/>
  <c r="B37" i="11" s="1"/>
  <c r="B42" i="11"/>
  <c r="B40" i="11"/>
  <c r="B45" i="11"/>
  <c r="B39" i="11"/>
  <c r="D40" i="4"/>
  <c r="D45" i="4"/>
  <c r="D43" i="4"/>
  <c r="D42" i="4"/>
  <c r="D39" i="4"/>
  <c r="D46" i="4"/>
  <c r="D34" i="4"/>
  <c r="D37" i="4" s="1"/>
  <c r="D41" i="4"/>
  <c r="D44" i="4"/>
  <c r="D44" i="11"/>
  <c r="D42" i="11"/>
  <c r="D46" i="11"/>
  <c r="D45" i="11"/>
  <c r="D41" i="11"/>
  <c r="D40" i="11"/>
  <c r="D43" i="11"/>
  <c r="D34" i="11"/>
  <c r="D37" i="11" s="1"/>
  <c r="D39" i="11"/>
  <c r="B44" i="2"/>
  <c r="B40" i="2"/>
  <c r="B39" i="2"/>
  <c r="B34" i="2"/>
  <c r="B37" i="2" s="1"/>
  <c r="B41" i="2"/>
  <c r="B46" i="2"/>
  <c r="B42" i="2"/>
  <c r="B43" i="2"/>
  <c r="B45" i="2"/>
  <c r="C46" i="2"/>
  <c r="C39" i="2"/>
  <c r="C45" i="2"/>
  <c r="C40" i="2"/>
  <c r="C43" i="2"/>
  <c r="C44" i="2"/>
  <c r="C41" i="2"/>
  <c r="C34" i="2"/>
  <c r="C37" i="2" s="1"/>
  <c r="C42" i="2"/>
  <c r="D46" i="2"/>
  <c r="D44" i="2"/>
  <c r="D42" i="2"/>
  <c r="D43" i="2"/>
  <c r="D34" i="2"/>
  <c r="D37" i="2" s="1"/>
  <c r="D39" i="2"/>
  <c r="D41" i="2"/>
  <c r="D40" i="2"/>
  <c r="D45" i="2"/>
  <c r="Q36" i="2"/>
  <c r="P36" i="2" s="1"/>
  <c r="Q35" i="2"/>
  <c r="P35" i="2" s="1"/>
  <c r="N34" i="4"/>
  <c r="N36" i="4"/>
  <c r="M22" i="4"/>
  <c r="B51" i="4"/>
  <c r="N33" i="4" s="1"/>
  <c r="N32" i="4"/>
  <c r="E53" i="2"/>
  <c r="O34" i="2" s="1"/>
  <c r="Q34" i="2" s="1"/>
  <c r="P34" i="2" s="1"/>
  <c r="O36" i="11"/>
  <c r="Q36" i="11" s="1"/>
  <c r="P36" i="11" s="1"/>
  <c r="O35" i="11"/>
  <c r="Q35" i="11" s="1"/>
  <c r="P35" i="11" s="1"/>
  <c r="B49" i="4"/>
  <c r="N31" i="4" s="1"/>
  <c r="E51" i="2"/>
  <c r="O33" i="2" s="1"/>
  <c r="Q33" i="2" s="1"/>
  <c r="P33" i="2" s="1"/>
  <c r="E49" i="2"/>
  <c r="O31" i="2" s="1"/>
  <c r="Q31" i="2" s="1"/>
  <c r="P31" i="2" s="1"/>
  <c r="P32" i="4" l="1"/>
  <c r="O32" i="4" s="1"/>
  <c r="P31" i="4"/>
  <c r="O31" i="4" s="1"/>
  <c r="O32" i="2"/>
  <c r="Q32" i="2" s="1"/>
  <c r="P32" i="2" s="1"/>
  <c r="P33" i="4"/>
  <c r="O33" i="4" s="1"/>
  <c r="P34" i="4"/>
  <c r="O34" i="4" s="1"/>
  <c r="P36" i="4"/>
  <c r="O36" i="4" s="1"/>
  <c r="P35" i="4"/>
  <c r="O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s>
  <commentList>
    <comment ref="A30" authorId="0" shapeId="0" xr:uid="{00000000-0006-0000-02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N31" authorId="0" shapeId="0" xr:uid="{00000000-0006-0000-0200-000002000000}">
      <text>
        <r>
          <rPr>
            <b/>
            <sz val="8"/>
            <color indexed="81"/>
            <rFont val="Tahoma"/>
            <family val="2"/>
          </rPr>
          <t>michael.fleetwood:</t>
        </r>
        <r>
          <rPr>
            <sz val="8"/>
            <color indexed="81"/>
            <rFont val="Tahoma"/>
            <family val="2"/>
          </rPr>
          <t xml:space="preserve">
Modify the number in the yellow blocks to see the deficit calculation change.</t>
        </r>
      </text>
    </comment>
    <comment ref="A85" authorId="1" shapeId="0" xr:uid="{00000000-0006-0000-0200-000003000000}">
      <text>
        <r>
          <rPr>
            <sz val="8"/>
            <color indexed="81"/>
            <rFont val="Tahoma"/>
            <family val="2"/>
          </rPr>
          <t>2 Standard Deviation based on performance Standard</t>
        </r>
      </text>
    </comment>
    <comment ref="A86" authorId="1" shapeId="0" xr:uid="{00000000-0006-0000-0200-000004000000}">
      <text>
        <r>
          <rPr>
            <sz val="8"/>
            <color indexed="81"/>
            <rFont val="Tahoma"/>
            <family val="2"/>
          </rPr>
          <t>1 Standard Deviation based on performance Standard</t>
        </r>
      </text>
    </comment>
    <comment ref="A95" authorId="0" shapeId="0" xr:uid="{00000000-0006-0000-0200-000005000000}">
      <text>
        <r>
          <rPr>
            <b/>
            <sz val="8"/>
            <color indexed="81"/>
            <rFont val="Tahoma"/>
            <family val="2"/>
          </rPr>
          <t>michael.fleetwood:</t>
        </r>
        <r>
          <rPr>
            <sz val="8"/>
            <color indexed="81"/>
            <rFont val="Tahoma"/>
            <family val="2"/>
          </rPr>
          <t xml:space="preserve">
Numbers derived from HM 4 Plane 3500.1D T&amp;R Matrix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s>
  <commentList>
    <comment ref="A30" authorId="0" shapeId="0" xr:uid="{00000000-0006-0000-03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N31" authorId="0" shapeId="0" xr:uid="{00000000-0006-0000-0300-000002000000}">
      <text>
        <r>
          <rPr>
            <b/>
            <sz val="8"/>
            <color indexed="81"/>
            <rFont val="Tahoma"/>
            <family val="2"/>
          </rPr>
          <t>michael.fleetwood:</t>
        </r>
        <r>
          <rPr>
            <sz val="8"/>
            <color indexed="81"/>
            <rFont val="Tahoma"/>
            <family val="2"/>
          </rPr>
          <t xml:space="preserve">
Modify the number in the yellow blocks to see the deficit calculation change.</t>
        </r>
      </text>
    </comment>
    <comment ref="A85" authorId="1" shapeId="0" xr:uid="{00000000-0006-0000-0300-000003000000}">
      <text>
        <r>
          <rPr>
            <sz val="8"/>
            <color indexed="81"/>
            <rFont val="Tahoma"/>
            <family val="2"/>
          </rPr>
          <t>2 Standard Deviation based on performance Standard</t>
        </r>
      </text>
    </comment>
    <comment ref="A86" authorId="1" shapeId="0" xr:uid="{00000000-0006-0000-0300-000004000000}">
      <text>
        <r>
          <rPr>
            <sz val="8"/>
            <color indexed="81"/>
            <rFont val="Tahoma"/>
            <family val="2"/>
          </rPr>
          <t>1 Standard Deviation based on performance Standard</t>
        </r>
      </text>
    </comment>
    <comment ref="A95" authorId="0" shapeId="0" xr:uid="{00000000-0006-0000-0300-000005000000}">
      <text>
        <r>
          <rPr>
            <b/>
            <sz val="8"/>
            <color indexed="81"/>
            <rFont val="Tahoma"/>
            <family val="2"/>
          </rPr>
          <t>michael.fleetwood:</t>
        </r>
        <r>
          <rPr>
            <sz val="8"/>
            <color indexed="81"/>
            <rFont val="Tahoma"/>
            <family val="2"/>
          </rPr>
          <t xml:space="preserve">
Numbers derived from HM 4 Plane 3500.1D T&amp;R Matrix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russell.w.scott</author>
  </authors>
  <commentList>
    <comment ref="A30" authorId="0" shapeId="0" xr:uid="{00000000-0006-0000-04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N31" authorId="0" shapeId="0" xr:uid="{00000000-0006-0000-0400-000002000000}">
      <text>
        <r>
          <rPr>
            <b/>
            <sz val="8"/>
            <color indexed="81"/>
            <rFont val="Tahoma"/>
            <family val="2"/>
          </rPr>
          <t>michael.fleetwood:</t>
        </r>
        <r>
          <rPr>
            <sz val="8"/>
            <color indexed="81"/>
            <rFont val="Tahoma"/>
            <family val="2"/>
          </rPr>
          <t xml:space="preserve">
Modify the number in the yellow blocks to see the deficit calculation change.</t>
        </r>
      </text>
    </comment>
    <comment ref="A93" authorId="1" shapeId="0" xr:uid="{00000000-0006-0000-0400-000003000000}">
      <text>
        <r>
          <rPr>
            <sz val="8"/>
            <color indexed="81"/>
            <rFont val="Tahoma"/>
            <family val="2"/>
          </rPr>
          <t>~ 30% greater than Training Readiness Standard</t>
        </r>
      </text>
    </comment>
    <comment ref="A94" authorId="1" shapeId="0" xr:uid="{00000000-0006-0000-0400-000004000000}">
      <text>
        <r>
          <rPr>
            <sz val="8"/>
            <color indexed="81"/>
            <rFont val="Tahoma"/>
            <family val="2"/>
          </rPr>
          <t>~ 20% greater than Training Readiness Standard</t>
        </r>
      </text>
    </comment>
    <comment ref="A96" authorId="0" shapeId="0" xr:uid="{00000000-0006-0000-0400-000005000000}">
      <text>
        <r>
          <rPr>
            <b/>
            <sz val="8"/>
            <color indexed="81"/>
            <rFont val="Tahoma"/>
            <family val="2"/>
          </rPr>
          <t>michael.fleetwood:</t>
        </r>
        <r>
          <rPr>
            <sz val="8"/>
            <color indexed="81"/>
            <rFont val="Tahoma"/>
            <family val="2"/>
          </rPr>
          <t xml:space="preserve">
~ 20% Below Training Readiness Standard</t>
        </r>
      </text>
    </comment>
    <comment ref="A97" authorId="0" shapeId="0" xr:uid="{00000000-0006-0000-0400-000006000000}">
      <text>
        <r>
          <rPr>
            <b/>
            <sz val="8"/>
            <color indexed="81"/>
            <rFont val="Tahoma"/>
            <family val="2"/>
          </rPr>
          <t>michael.fleetwood:</t>
        </r>
        <r>
          <rPr>
            <sz val="8"/>
            <color indexed="81"/>
            <rFont val="Tahoma"/>
            <family val="2"/>
          </rPr>
          <t xml:space="preserve">
~ 30% Below Training Readiness Standard</t>
        </r>
      </text>
    </comment>
    <comment ref="A103" authorId="0" shapeId="0" xr:uid="{00000000-0006-0000-0400-000007000000}">
      <text>
        <r>
          <rPr>
            <b/>
            <sz val="8"/>
            <color indexed="81"/>
            <rFont val="Tahoma"/>
            <family val="2"/>
          </rPr>
          <t>michael.fleetwood:</t>
        </r>
        <r>
          <rPr>
            <sz val="8"/>
            <color indexed="81"/>
            <rFont val="Tahoma"/>
            <family val="2"/>
          </rPr>
          <t xml:space="preserve">
Numbers derived from HM 2 Plane 3500.1D T&amp;R Matrix</t>
        </r>
      </text>
    </comment>
    <comment ref="B117" authorId="0" shapeId="0" xr:uid="{00000000-0006-0000-0400-000008000000}">
      <text>
        <r>
          <rPr>
            <b/>
            <sz val="8"/>
            <color indexed="81"/>
            <rFont val="Tahoma"/>
            <family val="2"/>
          </rPr>
          <t>michael.fleetwood:</t>
        </r>
        <r>
          <rPr>
            <sz val="8"/>
            <color indexed="81"/>
            <rFont val="Tahoma"/>
            <family val="2"/>
          </rPr>
          <t xml:space="preserve">
Total numbers per crew described in the T&amp;R.  T&amp;R only shows number of crews.  SHARP produces actual ACTC numbers.</t>
        </r>
      </text>
    </comment>
    <comment ref="F121" authorId="2" shapeId="0" xr:uid="{00000000-0006-0000-0400-000009000000}">
      <text>
        <r>
          <rPr>
            <b/>
            <sz val="8"/>
            <color indexed="81"/>
            <rFont val="Tahoma"/>
            <family val="2"/>
          </rPr>
          <t>russell.w.scott:</t>
        </r>
        <r>
          <rPr>
            <sz val="8"/>
            <color indexed="81"/>
            <rFont val="Tahoma"/>
            <family val="2"/>
          </rPr>
          <t xml:space="preserve">
SFARP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s>
  <commentList>
    <comment ref="A30" authorId="0" shapeId="0" xr:uid="{00000000-0006-0000-05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N31" authorId="0" shapeId="0" xr:uid="{00000000-0006-0000-0500-000002000000}">
      <text>
        <r>
          <rPr>
            <b/>
            <sz val="8"/>
            <color indexed="81"/>
            <rFont val="Tahoma"/>
            <family val="2"/>
          </rPr>
          <t>michael.fleetwood:</t>
        </r>
        <r>
          <rPr>
            <sz val="8"/>
            <color indexed="81"/>
            <rFont val="Tahoma"/>
            <family val="2"/>
          </rPr>
          <t xml:space="preserve">
Modify the number in the yellow blocks to see the deficit calculation change.</t>
        </r>
      </text>
    </comment>
    <comment ref="A93" authorId="1" shapeId="0" xr:uid="{00000000-0006-0000-0500-000003000000}">
      <text>
        <r>
          <rPr>
            <sz val="8"/>
            <color indexed="81"/>
            <rFont val="Tahoma"/>
            <family val="2"/>
          </rPr>
          <t>2 Standard Deviation based on performance Standard</t>
        </r>
      </text>
    </comment>
    <comment ref="A94" authorId="1" shapeId="0" xr:uid="{00000000-0006-0000-0500-000004000000}">
      <text>
        <r>
          <rPr>
            <sz val="8"/>
            <color indexed="81"/>
            <rFont val="Tahoma"/>
            <family val="2"/>
          </rPr>
          <t>1 Standard Deviation based on performance Standard</t>
        </r>
      </text>
    </comment>
    <comment ref="A103" authorId="0" shapeId="0" xr:uid="{00000000-0006-0000-0500-000005000000}">
      <text>
        <r>
          <rPr>
            <b/>
            <sz val="8"/>
            <color indexed="81"/>
            <rFont val="Tahoma"/>
            <family val="2"/>
          </rPr>
          <t>michael.fleetwood:</t>
        </r>
        <r>
          <rPr>
            <sz val="8"/>
            <color indexed="81"/>
            <rFont val="Tahoma"/>
            <family val="2"/>
          </rPr>
          <t xml:space="preserve">
Numbers derived from HM 4 Plane 3500.1D T&amp;R Matrix</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s>
  <commentList>
    <comment ref="A30" authorId="0" shapeId="0" xr:uid="{00000000-0006-0000-06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M31" authorId="0" shapeId="0" xr:uid="{00000000-0006-0000-0600-000002000000}">
      <text>
        <r>
          <rPr>
            <b/>
            <sz val="8"/>
            <color indexed="81"/>
            <rFont val="Tahoma"/>
            <family val="2"/>
          </rPr>
          <t>michael.fleetwood:</t>
        </r>
        <r>
          <rPr>
            <sz val="8"/>
            <color indexed="81"/>
            <rFont val="Tahoma"/>
            <family val="2"/>
          </rPr>
          <t xml:space="preserve">
Modify the number in the yellow blocks to see the deficit calculation change.</t>
        </r>
      </text>
    </comment>
    <comment ref="A93" authorId="1" shapeId="0" xr:uid="{00000000-0006-0000-0600-000003000000}">
      <text>
        <r>
          <rPr>
            <sz val="8"/>
            <color indexed="81"/>
            <rFont val="Tahoma"/>
            <family val="2"/>
          </rPr>
          <t>2 Standard Deviation based on performance Standard</t>
        </r>
      </text>
    </comment>
    <comment ref="A94" authorId="1" shapeId="0" xr:uid="{00000000-0006-0000-0600-000004000000}">
      <text>
        <r>
          <rPr>
            <sz val="8"/>
            <color indexed="81"/>
            <rFont val="Tahoma"/>
            <family val="2"/>
          </rPr>
          <t>1 Standard Deviation based on performance Standard</t>
        </r>
      </text>
    </comment>
    <comment ref="A103" authorId="0" shapeId="0" xr:uid="{00000000-0006-0000-0600-000005000000}">
      <text>
        <r>
          <rPr>
            <b/>
            <sz val="8"/>
            <color indexed="81"/>
            <rFont val="Tahoma"/>
            <family val="2"/>
          </rPr>
          <t>michael.fleetwood:</t>
        </r>
        <r>
          <rPr>
            <sz val="8"/>
            <color indexed="81"/>
            <rFont val="Tahoma"/>
            <family val="2"/>
          </rPr>
          <t xml:space="preserve">
Numbers derived from HM 4 Plane 3500.1D T&amp;R Matrix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michael.fleetwood</author>
  </authors>
  <commentList>
    <comment ref="B16" authorId="0" shapeId="0" xr:uid="{00000000-0006-0000-0700-000001000000}">
      <text>
        <r>
          <rPr>
            <b/>
            <sz val="8"/>
            <color indexed="81"/>
            <rFont val="Tahoma"/>
            <family val="2"/>
          </rPr>
          <t>michael.fleetwood:</t>
        </r>
        <r>
          <rPr>
            <sz val="8"/>
            <color indexed="81"/>
            <rFont val="Tahoma"/>
            <family val="2"/>
          </rPr>
          <t xml:space="preserve">
FY-22 NAPP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michael.fleetwood</author>
    <author>Rykala, Jacek CTR CHSCWL, N44A/N81C</author>
  </authors>
  <commentList>
    <comment ref="C7" authorId="0" shapeId="0" xr:uid="{00000000-0006-0000-0B00-000001000000}">
      <text>
        <r>
          <rPr>
            <b/>
            <sz val="8"/>
            <color indexed="81"/>
            <rFont val="Tahoma"/>
            <family val="2"/>
          </rPr>
          <t>michael.fleetwood:</t>
        </r>
        <r>
          <rPr>
            <sz val="8"/>
            <color indexed="81"/>
            <rFont val="Tahoma"/>
            <family val="2"/>
          </rPr>
          <t xml:space="preserve">
These are the Mission System Groupings taken from the MESM.  Each item corresponds to an EOC Code.</t>
        </r>
      </text>
    </comment>
    <comment ref="D7" authorId="0" shapeId="0" xr:uid="{00000000-0006-0000-0B00-000002000000}">
      <text>
        <r>
          <rPr>
            <b/>
            <sz val="8"/>
            <color indexed="81"/>
            <rFont val="Tahoma"/>
            <family val="2"/>
          </rPr>
          <t>michael.fleetwood:</t>
        </r>
        <r>
          <rPr>
            <sz val="8"/>
            <color indexed="81"/>
            <rFont val="Tahoma"/>
            <family val="2"/>
          </rPr>
          <t xml:space="preserve">
These items are integrated to the aircraft and describe the individual components in the Mission System Group</t>
        </r>
      </text>
    </comment>
    <comment ref="D67" authorId="1" shapeId="0" xr:uid="{00000000-0006-0000-0B00-000003000000}">
      <text>
        <r>
          <rPr>
            <b/>
            <sz val="9"/>
            <color indexed="81"/>
            <rFont val="Tahoma"/>
            <family val="2"/>
          </rPr>
          <t>Rykala, Jacek CTR CHSCWL, N44A/N81C:</t>
        </r>
        <r>
          <rPr>
            <sz val="9"/>
            <color indexed="81"/>
            <rFont val="Tahoma"/>
            <family val="2"/>
          </rPr>
          <t xml:space="preserve">
Engine Oil Quantity Replenishment System was moved to EOC E.
Please remove
</t>
        </r>
        <r>
          <rPr>
            <b/>
            <sz val="9"/>
            <color indexed="81"/>
            <rFont val="Tahoma"/>
            <family val="2"/>
          </rPr>
          <t xml:space="preserve">
Mike Fleetwood:</t>
        </r>
        <r>
          <rPr>
            <sz val="9"/>
            <color indexed="81"/>
            <rFont val="Tahoma"/>
            <family val="2"/>
          </rPr>
          <t xml:space="preserve">  Note 2 applies (required for Long Range flight)  OK</t>
        </r>
      </text>
    </comment>
    <comment ref="D69" authorId="1" shapeId="0" xr:uid="{00000000-0006-0000-0B00-000004000000}">
      <text>
        <r>
          <rPr>
            <b/>
            <sz val="9"/>
            <color indexed="81"/>
            <rFont val="Tahoma"/>
            <family val="2"/>
          </rPr>
          <t xml:space="preserve">Rykala, Jacek CTR CHSCWL, N44A/N81C:
</t>
        </r>
        <r>
          <rPr>
            <sz val="9"/>
            <color indexed="81"/>
            <rFont val="Tahoma"/>
            <family val="2"/>
          </rPr>
          <t>Hydraulicl Q</t>
        </r>
        <r>
          <rPr>
            <sz val="9"/>
            <color indexed="81"/>
            <rFont val="Tahoma"/>
            <family val="2"/>
          </rPr>
          <t xml:space="preserve">uantity Replenishment System was moved to EOC E.
Please remove
</t>
        </r>
        <r>
          <rPr>
            <b/>
            <sz val="9"/>
            <color indexed="81"/>
            <rFont val="Tahoma"/>
            <family val="2"/>
          </rPr>
          <t xml:space="preserve">
Mike Fleetwood:</t>
        </r>
        <r>
          <rPr>
            <sz val="9"/>
            <color indexed="81"/>
            <rFont val="Tahoma"/>
            <family val="2"/>
          </rPr>
          <t xml:space="preserve"> No note.  Conflicts with EOC E.  Need to address this.</t>
        </r>
      </text>
    </comment>
    <comment ref="C99" authorId="0" shapeId="0" xr:uid="{00000000-0006-0000-0B00-000005000000}">
      <text>
        <r>
          <rPr>
            <b/>
            <sz val="8"/>
            <color indexed="81"/>
            <rFont val="Tahoma"/>
            <family val="2"/>
          </rPr>
          <t>michael.fleetwood:</t>
        </r>
        <r>
          <rPr>
            <sz val="8"/>
            <color indexed="81"/>
            <rFont val="Tahoma"/>
            <family val="2"/>
          </rPr>
          <t xml:space="preserve">
Non-Integrated Systems are those items that attatch to the aircraft and do not necessarily affect the Material Condition of the aircraft when removed.  i.e. TFLIR, LDT, CATM</t>
        </r>
      </text>
    </comment>
  </commentList>
</comments>
</file>

<file path=xl/sharedStrings.xml><?xml version="1.0" encoding="utf-8"?>
<sst xmlns="http://schemas.openxmlformats.org/spreadsheetml/2006/main" count="1206" uniqueCount="379">
  <si>
    <t>Standard Name</t>
  </si>
  <si>
    <t>ID</t>
  </si>
  <si>
    <t>Rev</t>
  </si>
  <si>
    <t>AMFOM</t>
  </si>
  <si>
    <t>Definitions</t>
  </si>
  <si>
    <t>Deleted</t>
  </si>
  <si>
    <t>Note:  'NEW' Standards are less than 90 Days old</t>
  </si>
  <si>
    <t>Date</t>
  </si>
  <si>
    <t>Standard</t>
  </si>
  <si>
    <t>Change Summary</t>
  </si>
  <si>
    <t>HM All</t>
  </si>
  <si>
    <t>Initail DRRS-N Based profiles</t>
  </si>
  <si>
    <t>HM Bahrain</t>
  </si>
  <si>
    <t>Updated Integrated Mission System Percentages.</t>
  </si>
  <si>
    <t>HM FRS</t>
  </si>
  <si>
    <t>Updated FRS Standards for FY-13</t>
  </si>
  <si>
    <t>All</t>
  </si>
  <si>
    <t>Added Simulator Support Hours</t>
  </si>
  <si>
    <t>Added ACTC levels for .50 Cal Gunnex Quals (matches SHARP data output).  T&amp;R does not have this breakdown, but it is tracked in SHARP</t>
  </si>
  <si>
    <t>HM - 4 AC, 8 Crew DRRS</t>
  </si>
  <si>
    <t>HM - Bahrain</t>
  </si>
  <si>
    <t>Updated MK-105 Standards per HM Standards Change Request 21 Nov 13</t>
  </si>
  <si>
    <t xml:space="preserve">Updated to include new ROC/POE Dets(2A/B), Adjusted gear assigned and crew numbers. </t>
  </si>
  <si>
    <t>Added New MESM Mission Systems-Shipboard/IMDS/SUW</t>
  </si>
  <si>
    <t xml:space="preserve">Adjusted 100% T &amp;R  Matrix time from 16 to 25 due to Matrix change. </t>
  </si>
  <si>
    <t>Changed R+1 month for Det 3 to a 40% T&amp;R Matrix requirement</t>
  </si>
  <si>
    <t>Added new months for Maint and Basic</t>
  </si>
  <si>
    <t>Created one-to-many calculations for Non-Integrated Mission Systems</t>
  </si>
  <si>
    <t>Approved by TypeWing</t>
  </si>
  <si>
    <t>New T&amp;R values added to entering arguments and Aircrew Qualifications section.</t>
  </si>
  <si>
    <t>HM - 4 AC, 6 Crew DRRS</t>
  </si>
  <si>
    <t>Updated FRS Standards for FY-17</t>
  </si>
  <si>
    <t>Updated the Q24 Mission System Name</t>
  </si>
  <si>
    <t>Updated Mission System designations per the MESM.</t>
  </si>
  <si>
    <t>Added the NTA Matrix and MESM Map (for AMSRR)</t>
  </si>
  <si>
    <t>Updated FRS Standards for FY-18</t>
  </si>
  <si>
    <t>Updated FRS Standards for FY-19</t>
  </si>
  <si>
    <t>Removed RBA/RFT and associated logic - Added Flightline % and  MC % Logic</t>
  </si>
  <si>
    <t>Added EOC L code: Ready IMC Flight Mission Systems (L), set equal to MC %</t>
  </si>
  <si>
    <t>Updated AMFOM Standards to remove RBA and replace with MC and added EOC (L)</t>
  </si>
  <si>
    <t>FRS Standards moved to unique tab</t>
  </si>
  <si>
    <t>HM Matrix Reduced</t>
  </si>
  <si>
    <t>Added the Reduced NTA Matrix</t>
  </si>
  <si>
    <t>Updated Aircrew and Sim Fidelity data to match 2 Aug 19 T&amp;R</t>
  </si>
  <si>
    <t>HM Legacy Matrix</t>
  </si>
  <si>
    <t>FRS</t>
  </si>
  <si>
    <t>Updated to FY-22 NAPP</t>
  </si>
  <si>
    <t>Updated to include FMC and Mission System values from ARC-N</t>
  </si>
  <si>
    <t>Updated 100% T&amp;R and Sim Fidelity</t>
  </si>
  <si>
    <t>HM 3 and 4 AC/Crew</t>
  </si>
  <si>
    <t>New Standards</t>
  </si>
  <si>
    <t>Readiness Standards MH-53E 3 ACFT 3 Crew</t>
  </si>
  <si>
    <t>Inventory</t>
  </si>
  <si>
    <t>Rev:</t>
  </si>
  <si>
    <t>ID:</t>
  </si>
  <si>
    <t>01.01</t>
  </si>
  <si>
    <t>PAA=</t>
  </si>
  <si>
    <t>Crew/Seat Ratio=</t>
  </si>
  <si>
    <t>Crews=</t>
  </si>
  <si>
    <t>ESL=</t>
  </si>
  <si>
    <t>100% T&amp;R Matrix=</t>
  </si>
  <si>
    <t>100% Training Hours=</t>
  </si>
  <si>
    <t>100% Training Sorties=</t>
  </si>
  <si>
    <t>Ashore Support Hours=</t>
  </si>
  <si>
    <t>Per Crew</t>
  </si>
  <si>
    <t>Tactical Hard Deck =</t>
  </si>
  <si>
    <t>Afloat Support Hours=</t>
  </si>
  <si>
    <t>Sim Fidelity %=</t>
  </si>
  <si>
    <t>Simulator Support Hours=</t>
  </si>
  <si>
    <t>FRTP Mode</t>
  </si>
  <si>
    <t>Maintenance</t>
  </si>
  <si>
    <t>Basic</t>
  </si>
  <si>
    <t>Sustain</t>
  </si>
  <si>
    <t>Deploy</t>
  </si>
  <si>
    <t>Tactical Hard Deck</t>
  </si>
  <si>
    <t>HM Non-Integrated Mission Systems Deficit Calculator</t>
  </si>
  <si>
    <t>R+Month</t>
  </si>
  <si>
    <t>R+1</t>
  </si>
  <si>
    <t>R+8</t>
  </si>
  <si>
    <t>R+13</t>
  </si>
  <si>
    <t>D+1</t>
  </si>
  <si>
    <t>R+28</t>
  </si>
  <si>
    <t>FRTP</t>
  </si>
  <si>
    <t>Mission</t>
  </si>
  <si>
    <t>ULT</t>
  </si>
  <si>
    <t>THD</t>
  </si>
  <si>
    <t>Training Resource Elements</t>
  </si>
  <si>
    <t>Enter Actual data in the yellow blocks</t>
  </si>
  <si>
    <t>Average Training Readiness (ATR) Standard</t>
  </si>
  <si>
    <t>% of T&amp;R Matrix</t>
  </si>
  <si>
    <t>Non-Integrated Mission Systems RFT Deficit Formula</t>
  </si>
  <si>
    <t>Flying Hours</t>
  </si>
  <si>
    <t>Choose a Month</t>
  </si>
  <si>
    <t>Training Sortie Standard</t>
  </si>
  <si>
    <t>Training Hours Standard</t>
  </si>
  <si>
    <t>MC Std:</t>
  </si>
  <si>
    <t>Ashore Support Hours Total</t>
  </si>
  <si>
    <t>Afloat Support Hours Total</t>
  </si>
  <si>
    <t>Deficit Formula: Max of 0 or RFT/RBA Ent - (System Actual Val/Equipment Ratio)</t>
  </si>
  <si>
    <t>Total Hours Standard</t>
  </si>
  <si>
    <t>Example:</t>
  </si>
  <si>
    <t>MC Std</t>
  </si>
  <si>
    <t>System Actual</t>
  </si>
  <si>
    <t>Equip Ratio</t>
  </si>
  <si>
    <t>Simulator Contribution</t>
  </si>
  <si>
    <t>Allocated Flight Hours</t>
  </si>
  <si>
    <t>1.50 - (2.70/2.00) = 0.15 Deficit</t>
  </si>
  <si>
    <t>Flight Hour Execution Standard (90 Day Avg)</t>
  </si>
  <si>
    <t>N/A</t>
  </si>
  <si>
    <t>Simulator Hours</t>
  </si>
  <si>
    <t>Deficit RFT Deficit Fromula</t>
  </si>
  <si>
    <t>Simulator Support Hours</t>
  </si>
  <si>
    <t>Mission System</t>
  </si>
  <si>
    <t>Actual</t>
  </si>
  <si>
    <t>Ent</t>
  </si>
  <si>
    <t>Deficit Component</t>
  </si>
  <si>
    <t>Ratio of Equipment to RBA</t>
  </si>
  <si>
    <t>Aircraft Standards</t>
  </si>
  <si>
    <t>Flightline %</t>
  </si>
  <si>
    <t>MC %</t>
  </si>
  <si>
    <t>FMC %</t>
  </si>
  <si>
    <t>Flightline Standard</t>
  </si>
  <si>
    <t>MC Standard</t>
  </si>
  <si>
    <t>FMC Standard</t>
  </si>
  <si>
    <t>Integrated Mission Systems</t>
  </si>
  <si>
    <t>Ready MH-53E SAR/MEDEVAC Mission Systems (C)</t>
  </si>
  <si>
    <t>Ready MH-53E Logistics Support Mission Systems (D)</t>
  </si>
  <si>
    <t>Ready MH-53E Expanded Mobility Mission Systems (E)</t>
  </si>
  <si>
    <t>Ready MH-53E SUW and Special Warfare Mission Systems (F)</t>
  </si>
  <si>
    <t>Ready MH-53E Real-Time Diagnostics and Fault Monitoring Systems (I)</t>
  </si>
  <si>
    <t>Ready MH-53E Airborne Mine Counter Measures Mission (AMCM) Systems (J)</t>
  </si>
  <si>
    <t>Ready MH-53E Shipboard Mission Systems (K)</t>
  </si>
  <si>
    <t>Ready MH-53E IMC Flight Mission Systems (L)</t>
  </si>
  <si>
    <t>Non-Integrated Mission Systems</t>
  </si>
  <si>
    <t>Assigned Guns Sets</t>
  </si>
  <si>
    <t>Ready Guns Sets</t>
  </si>
  <si>
    <t>Assigned MK 103 Sets</t>
  </si>
  <si>
    <t>Ready MK 103 Sets</t>
  </si>
  <si>
    <t>Assigned MK 104 Sets</t>
  </si>
  <si>
    <t>Ready MK 104 Sets</t>
  </si>
  <si>
    <t>Assigned MK 105 Sets</t>
  </si>
  <si>
    <t>Ready MK 105 Sets</t>
  </si>
  <si>
    <t>Assigned Q24 Sets</t>
  </si>
  <si>
    <t>Ready Q24 Sets</t>
  </si>
  <si>
    <t>Assigned MOP Sets</t>
  </si>
  <si>
    <t>Ready MOP Sets</t>
  </si>
  <si>
    <t>Aircrew Manning and Crews</t>
  </si>
  <si>
    <t>Driver</t>
  </si>
  <si>
    <t>Exception</t>
  </si>
  <si>
    <t>Notes</t>
  </si>
  <si>
    <t>1.  4 AC, 4 Crew Standard Breakout: 15.1 - Sustain, 15.2A - Deploy, 15.2B - Advanced</t>
  </si>
  <si>
    <t>2.  3 AC, 3 Crew Standard Breakout: 15.3A - Deploy, 15.3B - Advanced</t>
  </si>
  <si>
    <t>Range of Performance Values - Do Not Modify - (Use these values to establish performance cutoffs)</t>
  </si>
  <si>
    <t>UCL (Red Above)</t>
  </si>
  <si>
    <t>UCL (Yellow Above)</t>
  </si>
  <si>
    <t>Training Readiness Standard</t>
  </si>
  <si>
    <t>LCL (Yellow Below)</t>
  </si>
  <si>
    <t>LCL (Red Below)</t>
  </si>
  <si>
    <t>Ef Crew Expectation Profile</t>
  </si>
  <si>
    <t>U/L CL Max:</t>
  </si>
  <si>
    <t>U/L CL Min:</t>
  </si>
  <si>
    <t>CBM Matrix Ef Values - Do Not Modify</t>
  </si>
  <si>
    <t>Trained Manpower and Crews</t>
  </si>
  <si>
    <t>T&amp;R: 25 Oct 22</t>
  </si>
  <si>
    <t>Pilot Upper Limit</t>
  </si>
  <si>
    <t>Pilot Lower Limit</t>
  </si>
  <si>
    <t>Aircrew Upper Limit</t>
  </si>
  <si>
    <t>Aircrew Lower Limit</t>
  </si>
  <si>
    <t>&gt;= ACTC LEVEL 3 PILOT - MIW</t>
  </si>
  <si>
    <t>&gt;= ACTC LEVEL 3 PILOT - MOB/LOG</t>
  </si>
  <si>
    <t>&gt;= ACTC LEVEL 3 NAC - MIW</t>
  </si>
  <si>
    <t>&gt;= ACTC LEVEL 3 NAC - MOB/LOG</t>
  </si>
  <si>
    <t>&gt;= ACTC LEVEL 2 PILOT</t>
  </si>
  <si>
    <t>&gt;= ACTC LEVEL 2 NAC</t>
  </si>
  <si>
    <t>&gt;= ACTC LEVEL 1 PILOT</t>
  </si>
  <si>
    <t>&gt;= ACTC LEVEL 1 NAC</t>
  </si>
  <si>
    <t>Q24 Controller Qualified Crewmen</t>
  </si>
  <si>
    <t>AMNS Controller Qualified Crewmen</t>
  </si>
  <si>
    <t>Required Skilled Crews</t>
  </si>
  <si>
    <t>Monthly Variable Hours Assignments</t>
  </si>
  <si>
    <t>Simulator Replacement Month</t>
  </si>
  <si>
    <t>X</t>
  </si>
  <si>
    <t>Afloat Support Hours Assignment</t>
  </si>
  <si>
    <t>DRRS-N AMFOM Standard</t>
  </si>
  <si>
    <t>Green</t>
  </si>
  <si>
    <t>Yellow</t>
  </si>
  <si>
    <t>Red</t>
  </si>
  <si>
    <t>Aircraft</t>
  </si>
  <si>
    <t>In Reporting</t>
  </si>
  <si>
    <t>Top</t>
  </si>
  <si>
    <t>Mission Capable Aircraft (MC)</t>
  </si>
  <si>
    <t>FMC and Mission System Utilization Rates</t>
  </si>
  <si>
    <t>HM 3PAA v221025</t>
  </si>
  <si>
    <t>FMC % of MC</t>
  </si>
  <si>
    <t>Readiness Standards MH-53E 4 ACFT 4 Crew</t>
  </si>
  <si>
    <t>01.02</t>
  </si>
  <si>
    <t>HM 4PAA v221025</t>
  </si>
  <si>
    <t>Readiness Standards MH-53E 2 ACFT 3 Crew</t>
  </si>
  <si>
    <t>01.03</t>
  </si>
  <si>
    <t>MAINT: 14.3/15.3</t>
  </si>
  <si>
    <t>BASIC: 14.2B</t>
  </si>
  <si>
    <t>DEPLOY: 14.2A</t>
  </si>
  <si>
    <t>RBA/RFT Ent:</t>
  </si>
  <si>
    <t>RFT/RBA Ent</t>
  </si>
  <si>
    <t>Notes for MESM RFT inputs:</t>
  </si>
  <si>
    <t>1.  T&amp;R reflects 1/3 AMCM, 2/3 other mission areas.</t>
  </si>
  <si>
    <t>2.  Calculations based on historical data flight hour flown per mission norms per FY.</t>
  </si>
  <si>
    <t>3.  Norms were used different and collated for BAHRAIN, NORFOLK.</t>
  </si>
  <si>
    <t>4.  DET 3 norms used the average of NORFOLK inputs.</t>
  </si>
  <si>
    <t>5.  BAHRAIN- (5%)SAR, (25%)VOD/ (50%)AMCM/ (20%)Expanded Mobility.</t>
  </si>
  <si>
    <t>6.  NORFOLK- (5%)SAR, (30%)VOD/ (25%)AMCM/ (40%)Expanded Mobility.</t>
  </si>
  <si>
    <t>7.  DET 3-   (5%)SAR, (20%)VOD/ (27.5%)AMCM/ (47.5%)Expanded Mobility.</t>
  </si>
  <si>
    <t>8.  Bahrain Standard breakout: 15.2B - Basic, 15.2A - Deploy</t>
  </si>
  <si>
    <t>9.  4 AC, 6 Crew Standard Breakout: 14.1 and 15.1 - Sustain</t>
  </si>
  <si>
    <t>10.  Det 3 Standard Breakout: 14.3, 15.3 - Maintenance, 14.2B - Basic, 14.2A - Deploy</t>
  </si>
  <si>
    <t>Range of Performance Values - Do Not Modify - 
(Use these values to establish performance cutoffs)</t>
  </si>
  <si>
    <t>T&amp;R: 2 Aug 19</t>
  </si>
  <si>
    <t>HM PAA2 v210226</t>
  </si>
  <si>
    <t>Readiness Standards MH-53E 4 ACFT 6 Crew Bahrain</t>
  </si>
  <si>
    <t>01.04</t>
  </si>
  <si>
    <t>MC Ent:</t>
  </si>
  <si>
    <t>HM PAA4 v210226</t>
  </si>
  <si>
    <t>Readiness Standards MH-53E 4 ACFT 6 Crew</t>
  </si>
  <si>
    <t>01.05</t>
  </si>
  <si>
    <t>T&amp;R: 4 Aug 19</t>
  </si>
  <si>
    <t>Readiness Standards HM MH-53E FRS</t>
  </si>
  <si>
    <t>01.06</t>
  </si>
  <si>
    <t>MH-53E</t>
  </si>
  <si>
    <t>HM-12 PAA =</t>
  </si>
  <si>
    <t>A-1</t>
  </si>
  <si>
    <t>NA</t>
  </si>
  <si>
    <t>HM-12</t>
  </si>
  <si>
    <t>This section under development</t>
  </si>
  <si>
    <t>Squadron Manning</t>
  </si>
  <si>
    <t>Overall Rating Fill</t>
  </si>
  <si>
    <t>Overall Rating Fit</t>
  </si>
  <si>
    <t>Overall NEC Fit</t>
  </si>
  <si>
    <t>Mission Systems</t>
  </si>
  <si>
    <t>Navy MH-53E TMS Reduced MET to Mission System Map</t>
  </si>
  <si>
    <t>Ready SAR/MEDEVAC  Mission Systems (C)</t>
  </si>
  <si>
    <t>Ready Logistics Support Mission Systems (D)</t>
  </si>
  <si>
    <t>Ready Expanded Mobility Mission Systems (E)</t>
  </si>
  <si>
    <t>Ready SUW and Special Warfare Mission Systems (F)</t>
  </si>
  <si>
    <t>Ready Real-Time Diagnostics and Fault Monitoring System (I)</t>
  </si>
  <si>
    <t>Ready Airborne Mine Counter Measures Mission (AMCM) Systems (J)</t>
  </si>
  <si>
    <t>Ready Shipboard Mission Systems (K)</t>
  </si>
  <si>
    <t>Ready IMC Flight Mission Systems (L)</t>
  </si>
  <si>
    <t>Assigned MK-103 Sets</t>
  </si>
  <si>
    <t>Ready MK-103 Sets</t>
  </si>
  <si>
    <t>Assigned MK-104 Sets</t>
  </si>
  <si>
    <t>Ready MK-104 Sets</t>
  </si>
  <si>
    <t>Assigned MK-105 Sets</t>
  </si>
  <si>
    <t>Ready MK-105 Sets</t>
  </si>
  <si>
    <t>MISSION ESSENTIAL TASKS</t>
  </si>
  <si>
    <t>NTA 1.1.1.5</t>
  </si>
  <si>
    <t>Conduct shore to ship movement</t>
  </si>
  <si>
    <t>NTA 1.1.2.3.3</t>
  </si>
  <si>
    <t>Conduct Flight Operations</t>
  </si>
  <si>
    <t>NTA 1.1.2.4</t>
  </si>
  <si>
    <t>Conduct Tactical Insertion and Extraction</t>
  </si>
  <si>
    <t>NTA 1.3.1.1</t>
  </si>
  <si>
    <t>Conduct Mine Hunting</t>
  </si>
  <si>
    <t>NTA 1.3.1.2</t>
  </si>
  <si>
    <t>Conduct Minesweeping</t>
  </si>
  <si>
    <t>NTA 1.3.3.3</t>
  </si>
  <si>
    <t>Conduct Mine Neutralization</t>
  </si>
  <si>
    <t>NTA 4.2.1.2</t>
  </si>
  <si>
    <t>Conduct Aerial Refueling</t>
  </si>
  <si>
    <t>NTA 6.2.2.1</t>
  </si>
  <si>
    <t>Perform Search and Rescue (SAR)</t>
  </si>
  <si>
    <t>NTA 6.5.1</t>
  </si>
  <si>
    <t>Provide disaster relief</t>
  </si>
  <si>
    <t>MH-53E Mission System Utilization per Flight Task</t>
  </si>
  <si>
    <t>Tab Inventory</t>
  </si>
  <si>
    <t>Mission System Groups HM MH-53E</t>
  </si>
  <si>
    <t>** MESM:</t>
  </si>
  <si>
    <t>Updated:</t>
  </si>
  <si>
    <t>Integrated Aircraft Mission Systems Configuration</t>
  </si>
  <si>
    <t>COMMUNITY</t>
  </si>
  <si>
    <t>TMS AFFECTED</t>
  </si>
  <si>
    <t>Mission System Group</t>
  </si>
  <si>
    <t xml:space="preserve">COMPONENTS/SYSTEMS/ MESM CODES </t>
  </si>
  <si>
    <t>HM</t>
  </si>
  <si>
    <t>DOPPLER HOVER COUPLER SYSTEM</t>
  </si>
  <si>
    <t>LITTER SYSTEM</t>
  </si>
  <si>
    <t>RADAR ALTIMETER HOLD SYSTEM</t>
  </si>
  <si>
    <t>UHF (DF mode only)</t>
  </si>
  <si>
    <t>AC/DC POWER RECEPTACLE</t>
  </si>
  <si>
    <t>RESCUE HOIST</t>
  </si>
  <si>
    <t xml:space="preserve">AFCS DSENS (ANY AXIS INOPERATIVE) </t>
  </si>
  <si>
    <t>CARGO RAMP SYSTEM</t>
  </si>
  <si>
    <t>CARGO RESTRAINT FIXTURES</t>
  </si>
  <si>
    <t>CARGO ROLLERS</t>
  </si>
  <si>
    <t>CARGO WINCH SYSTEM</t>
  </si>
  <si>
    <t>EMERGENCY EXIT LIGHTING</t>
  </si>
  <si>
    <t xml:space="preserve">ENGINE AIR PARTICLE SEPARATORS </t>
  </si>
  <si>
    <t>ICS (GUNNER STATIONS – IF REQUIRED)</t>
  </si>
  <si>
    <t>IFF (ALL MODES – IF REQUIRED)</t>
  </si>
  <si>
    <t>LONG RAMP (IF REQUIRED)</t>
  </si>
  <si>
    <t xml:space="preserve">SINGLE POINT CARGO HOOK SYSTEM </t>
  </si>
  <si>
    <t>DUAL POINT CARGO HOOK SYSTEM</t>
  </si>
  <si>
    <t>TROOP SEAT SYSTEM (EXCEPT CENTERLINE)</t>
  </si>
  <si>
    <t>SOUND PROOFING</t>
  </si>
  <si>
    <t>HEELS</t>
  </si>
  <si>
    <t>AERIAL REFUELING PROBE</t>
  </si>
  <si>
    <t>ENGINE OIL QUANTITY REPLENISHMENT SYSTEM</t>
  </si>
  <si>
    <t>HYDRAULIC QUANTITY REPLENISHMENT SYSTEM</t>
  </si>
  <si>
    <t>LANDING GEAR (MUST RETRACT)</t>
  </si>
  <si>
    <t>CABIN WINDOWS</t>
  </si>
  <si>
    <t>MAGR/GPS (WHEN REQUIRED)</t>
  </si>
  <si>
    <t xml:space="preserve">WEAPONS DELIVERY/ARMAMENT </t>
  </si>
  <si>
    <t>XM-218</t>
  </si>
  <si>
    <t>GAU-21</t>
  </si>
  <si>
    <t>AN/AAR-47</t>
  </si>
  <si>
    <t>AN/ALE-47</t>
  </si>
  <si>
    <t xml:space="preserve">      </t>
  </si>
  <si>
    <t>NVD LIGHTING SYSTEMS (NIGHTS ONLY)</t>
  </si>
  <si>
    <t>FAST ROPE ATTACHMENT BAR (IF REQUIRED)</t>
  </si>
  <si>
    <t>IMDS</t>
  </si>
  <si>
    <t>AFCS DSENS FAILURE (ANY AXIS INOPERATIVE)</t>
  </si>
  <si>
    <t>AFCS TRIM SYSTEMS</t>
  </si>
  <si>
    <t>AMCM AIRCRAFT MISSION COMPONENTS</t>
  </si>
  <si>
    <t>AMCM MIRRORS</t>
  </si>
  <si>
    <t xml:space="preserve">AMCM PRECISE NAVIGATION SYSTEM </t>
  </si>
  <si>
    <t xml:space="preserve">AMCM WINCH SYSTEM </t>
  </si>
  <si>
    <t>APERTURE GUARD</t>
  </si>
  <si>
    <t>DOPPLER</t>
  </si>
  <si>
    <t>HOVER COUPLER SYSTEM (WHEN REQUIRED)</t>
  </si>
  <si>
    <t>EAPS (ANY DOOR OR BLOWER INOP)</t>
  </si>
  <si>
    <t>GUILLOTINES (BOTH REQUIRED)</t>
  </si>
  <si>
    <t>HEATER (WHEN OAT IS BELOW 40 DEGREES F)</t>
  </si>
  <si>
    <t>ICS (AMCM MANNED STATIONS)</t>
  </si>
  <si>
    <t>RADAR ALTIMETER HOLD SYSTEM (1 RADAR ALTIMETER)</t>
  </si>
  <si>
    <t>SECURE VOICE SYSTEM (WHEN REQUIRED)</t>
  </si>
  <si>
    <t>STUB RAMP</t>
  </si>
  <si>
    <t xml:space="preserve">TAIL SKID RETRACTION SYSTEM (RETRACTABLE) </t>
  </si>
  <si>
    <t>TENSION/SKEW INDICATING SYSTEM</t>
  </si>
  <si>
    <t>TOW BOOM AND HOOK SYSTEM</t>
  </si>
  <si>
    <t>UTILITY 2 HYDRAULIC SYSTEM</t>
  </si>
  <si>
    <t>WINDSHIELD WIPER/WASHER</t>
  </si>
  <si>
    <t>XM-218 (IF REQUIRED)</t>
  </si>
  <si>
    <t>RADAR ALTIMETER (1 OF 2 REQUIRED)</t>
  </si>
  <si>
    <t xml:space="preserve">BLADE FOLD SYSTEM </t>
  </si>
  <si>
    <t>HF RADIO (AS REQUIRED)</t>
  </si>
  <si>
    <t>LF/ADF</t>
  </si>
  <si>
    <t>NIGHT VISION DEVICES (AS REQUIRED)</t>
  </si>
  <si>
    <t>PRESSURE REFUELING SYSTEM</t>
  </si>
  <si>
    <t xml:space="preserve">PYLON FOLD SYSTEM </t>
  </si>
  <si>
    <t xml:space="preserve">ROTOR BRAKE SYSTEM </t>
  </si>
  <si>
    <t xml:space="preserve">ROTOR POSITIONING SYSTEM </t>
  </si>
  <si>
    <t>SECURE IFF (AS REQUIRED)</t>
  </si>
  <si>
    <t>SECURE VOICE SYSTEM (AS REQUIRED)</t>
  </si>
  <si>
    <t>TACAN</t>
  </si>
  <si>
    <t xml:space="preserve">WHEEL BRAKING SYSTEM </t>
  </si>
  <si>
    <t>AFCT TRIM SYSTEMS (LESS PEDAL TRIM)</t>
  </si>
  <si>
    <t>AIRCRAFT LIGHTING SYSTEMS (UPPER ANTI-COLLISION, POSITION, AND COCKPIT REQUIRED)</t>
  </si>
  <si>
    <t>ALTIMETER ENCODER</t>
  </si>
  <si>
    <t>ANTI-ICE/ICE DETECTION SYSTEMS</t>
  </si>
  <si>
    <t>ATTITUDE REFERENCE DISPLAY (PILOTS)</t>
  </si>
  <si>
    <t>BAROMETRIC ALTIMETER HOLD SYSTEM</t>
  </si>
  <si>
    <t>CLOCK (8-DAY) (1 REQUIRED)</t>
  </si>
  <si>
    <t>HEADING REFERENCE SYSTEMS (BOTH PILOTS)</t>
  </si>
  <si>
    <t>IFF (AS REQUIRED)</t>
  </si>
  <si>
    <t>PITOT HEAT</t>
  </si>
  <si>
    <t>STANDBY COMPASS</t>
  </si>
  <si>
    <t>RADIO NAVIGATION SYSTEMS (GPS, TACAN OR VOR/ILS AS REQUIRED)</t>
  </si>
  <si>
    <t>VERTICAL SPEED INDICATOR</t>
  </si>
  <si>
    <t>WINDSHEILD WIPER</t>
  </si>
  <si>
    <t>TURN RATE INDICATOR</t>
  </si>
  <si>
    <t>INCLINOMETER (SLIP INDICATOR)</t>
  </si>
  <si>
    <t>See Definitions Tab</t>
  </si>
  <si>
    <t>Non-Integrated Mission Systems (INVENTORY ITEMS)</t>
  </si>
  <si>
    <t>Mission Systems TOOLS TITLES</t>
  </si>
  <si>
    <t>CONFIGURATIONS THAT APPLY</t>
  </si>
  <si>
    <t>XM-218 Gun, M-240 Gun, GAU-21</t>
  </si>
  <si>
    <t>Q-24, Q-24A, Q-24B, Q-24C</t>
  </si>
  <si>
    <t>Item</t>
  </si>
  <si>
    <t>Definition</t>
  </si>
  <si>
    <t>Mission Capable (MC) is defined in reference (e).  MC is a “Material condition of an aircraft that can perform at least one and potentially all of its missions. MC Hours = EIS Hours - NMC Hours.”  MC in this sense is not used in this document, but describes its current status as on the moment it was reported in the AMSRRWeb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</si>
</sst>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409]d\-mmm\-yy;@"/>
    <numFmt numFmtId="166" formatCode="_(* #,##0.0_);_(* \(#,##0.0\);_(* &quot;-&quot;??_);_(@_)"/>
    <numFmt numFmtId="167" formatCode="0.0%"/>
    <numFmt numFmtId="168" formatCode="0.0000000000000000000"/>
    <numFmt numFmtId="169" formatCode="_(* #,##0_);_(* \(#,##0\);_(* &quot;-&quot;??_);_(@_)"/>
    <numFmt numFmtId="170" formatCode="0.000"/>
  </numFmts>
  <fonts count="50"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8"/>
      <color indexed="81"/>
      <name val="Tahoma"/>
      <family val="2"/>
    </font>
    <font>
      <sz val="8"/>
      <color indexed="81"/>
      <name val="Tahoma"/>
      <family val="2"/>
    </font>
    <font>
      <sz val="8"/>
      <name val="Arial"/>
      <family val="2"/>
    </font>
    <font>
      <sz val="9"/>
      <color indexed="8"/>
      <name val="Calibri"/>
      <family val="2"/>
      <scheme val="minor"/>
    </font>
    <font>
      <sz val="9"/>
      <name val="Calibri"/>
      <family val="2"/>
      <scheme val="minor"/>
    </font>
    <font>
      <b/>
      <i/>
      <sz val="9"/>
      <name val="Calibri"/>
      <family val="2"/>
      <scheme val="minor"/>
    </font>
    <font>
      <sz val="9"/>
      <color indexed="10"/>
      <name val="Calibri"/>
      <family val="2"/>
      <scheme val="minor"/>
    </font>
    <font>
      <sz val="8"/>
      <name val="Calibri"/>
      <family val="2"/>
      <scheme val="minor"/>
    </font>
    <font>
      <b/>
      <sz val="9"/>
      <name val="Calibri"/>
      <family val="2"/>
      <scheme val="minor"/>
    </font>
    <font>
      <b/>
      <sz val="9"/>
      <color indexed="12"/>
      <name val="Calibri"/>
      <family val="2"/>
      <scheme val="minor"/>
    </font>
    <font>
      <b/>
      <sz val="14"/>
      <name val="Calibri"/>
      <family val="2"/>
      <scheme val="minor"/>
    </font>
    <font>
      <sz val="14"/>
      <name val="Calibri"/>
      <family val="2"/>
      <scheme val="minor"/>
    </font>
    <font>
      <b/>
      <i/>
      <sz val="10"/>
      <name val="Calibri"/>
      <family val="2"/>
      <scheme val="minor"/>
    </font>
    <font>
      <sz val="10"/>
      <name val="Calibri"/>
      <family val="2"/>
      <scheme val="minor"/>
    </font>
    <font>
      <u/>
      <sz val="10"/>
      <color theme="10"/>
      <name val="Calibri"/>
      <family val="2"/>
      <scheme val="minor"/>
    </font>
    <font>
      <b/>
      <i/>
      <sz val="11"/>
      <name val="Calibri"/>
      <family val="2"/>
      <scheme val="minor"/>
    </font>
    <font>
      <sz val="11"/>
      <name val="Calibri"/>
      <family val="2"/>
      <scheme val="minor"/>
    </font>
    <font>
      <u/>
      <sz val="11"/>
      <color theme="10"/>
      <name val="Calibri"/>
      <family val="2"/>
      <scheme val="minor"/>
    </font>
    <font>
      <b/>
      <i/>
      <sz val="11"/>
      <color rgb="FF00CC00"/>
      <name val="Calibri"/>
      <family val="2"/>
      <scheme val="minor"/>
    </font>
    <font>
      <b/>
      <i/>
      <sz val="11"/>
      <color theme="1"/>
      <name val="Calibri"/>
      <family val="2"/>
      <scheme val="minor"/>
    </font>
    <font>
      <b/>
      <sz val="11"/>
      <name val="Calibri"/>
      <family val="2"/>
      <scheme val="minor"/>
    </font>
    <font>
      <sz val="20"/>
      <name val="Calibri"/>
      <family val="2"/>
      <scheme val="minor"/>
    </font>
    <font>
      <b/>
      <i/>
      <sz val="8"/>
      <name val="Calibri"/>
      <family val="2"/>
      <scheme val="minor"/>
    </font>
    <font>
      <u/>
      <sz val="11"/>
      <color theme="10"/>
      <name val="Calibri"/>
      <family val="2"/>
    </font>
    <font>
      <u/>
      <sz val="9"/>
      <color theme="10"/>
      <name val="Calibri"/>
      <family val="2"/>
    </font>
    <font>
      <b/>
      <sz val="12"/>
      <name val="Arial"/>
      <family val="2"/>
    </font>
    <font>
      <b/>
      <sz val="10"/>
      <name val="Arial"/>
      <family val="2"/>
    </font>
    <font>
      <sz val="8"/>
      <color indexed="8"/>
      <name val="Arial"/>
      <family val="2"/>
    </font>
    <font>
      <sz val="8"/>
      <name val="Courier New"/>
      <family val="3"/>
    </font>
    <font>
      <sz val="10"/>
      <color indexed="8"/>
      <name val="Arial"/>
      <family val="2"/>
    </font>
    <font>
      <b/>
      <sz val="9"/>
      <color indexed="81"/>
      <name val="Tahoma"/>
      <family val="2"/>
    </font>
    <font>
      <sz val="9"/>
      <color indexed="81"/>
      <name val="Tahoma"/>
      <family val="2"/>
    </font>
    <font>
      <u/>
      <sz val="14"/>
      <color theme="10"/>
      <name val="Calibri"/>
      <family val="2"/>
      <scheme val="minor"/>
    </font>
    <font>
      <b/>
      <sz val="10"/>
      <name val="Calibri"/>
      <family val="2"/>
      <scheme val="minor"/>
    </font>
    <font>
      <b/>
      <sz val="16"/>
      <name val="Calibri"/>
      <family val="2"/>
      <scheme val="minor"/>
    </font>
    <font>
      <b/>
      <sz val="8"/>
      <name val="Calibri"/>
      <family val="2"/>
      <scheme val="minor"/>
    </font>
    <font>
      <u/>
      <sz val="10"/>
      <color theme="10"/>
      <name val="Calibri"/>
      <family val="2"/>
    </font>
    <font>
      <u/>
      <sz val="10"/>
      <color theme="10"/>
      <name val="Arial"/>
      <family val="2"/>
    </font>
    <font>
      <sz val="12"/>
      <name val="Calibri"/>
      <family val="2"/>
      <scheme val="minor"/>
    </font>
    <font>
      <sz val="11"/>
      <color theme="1"/>
      <name val="Calibri"/>
      <family val="2"/>
      <scheme val="minor"/>
    </font>
    <font>
      <b/>
      <sz val="8"/>
      <color indexed="55"/>
      <name val="Calibri"/>
      <family val="2"/>
      <scheme val="minor"/>
    </font>
    <font>
      <b/>
      <sz val="12"/>
      <color theme="1"/>
      <name val="Calibri"/>
      <family val="2"/>
      <scheme val="minor"/>
    </font>
    <font>
      <sz val="8"/>
      <name val="Calibri"/>
      <family val="2"/>
    </font>
    <font>
      <b/>
      <sz val="10"/>
      <color indexed="8"/>
      <name val="Arial"/>
      <family val="2"/>
    </font>
    <font>
      <b/>
      <sz val="10"/>
      <color theme="1"/>
      <name val="Arial"/>
      <family val="2"/>
    </font>
  </fonts>
  <fills count="1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66FF66"/>
        <bgColor indexed="64"/>
      </patternFill>
    </fill>
    <fill>
      <patternFill patternType="solid">
        <fgColor rgb="FFFF7979"/>
        <bgColor indexed="64"/>
      </patternFill>
    </fill>
    <fill>
      <patternFill patternType="solid">
        <fgColor theme="9"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7">
    <xf numFmtId="0" fontId="0" fillId="0" borderId="0"/>
    <xf numFmtId="0" fontId="3" fillId="2" borderId="1">
      <alignment horizontal="center" textRotation="90"/>
    </xf>
    <xf numFmtId="0" fontId="3" fillId="0" borderId="0">
      <alignment textRotation="90"/>
    </xf>
    <xf numFmtId="9" fontId="3"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41" fillId="0" borderId="0" applyNumberFormat="0" applyFill="0" applyBorder="0" applyAlignment="0" applyProtection="0">
      <alignment vertical="top"/>
      <protection locked="0"/>
    </xf>
    <xf numFmtId="0" fontId="3" fillId="0" borderId="0"/>
    <xf numFmtId="0" fontId="3" fillId="0" borderId="0"/>
    <xf numFmtId="0" fontId="28" fillId="0" borderId="0" applyNumberFormat="0" applyFill="0" applyBorder="0" applyAlignment="0" applyProtection="0">
      <alignment vertical="top"/>
      <protection locked="0"/>
    </xf>
    <xf numFmtId="0" fontId="3" fillId="0" borderId="0"/>
    <xf numFmtId="0" fontId="42" fillId="0" borderId="0" applyNumberFormat="0" applyFill="0" applyBorder="0" applyAlignment="0" applyProtection="0">
      <alignment vertical="top"/>
      <protection locked="0"/>
    </xf>
    <xf numFmtId="0" fontId="44" fillId="0" borderId="0"/>
    <xf numFmtId="0" fontId="3" fillId="0" borderId="0"/>
    <xf numFmtId="0" fontId="2" fillId="0" borderId="0"/>
    <xf numFmtId="0" fontId="2" fillId="0" borderId="0"/>
    <xf numFmtId="0" fontId="1" fillId="0" borderId="0"/>
    <xf numFmtId="0" fontId="1" fillId="0" borderId="0"/>
    <xf numFmtId="0" fontId="3" fillId="0" borderId="0"/>
  </cellStyleXfs>
  <cellXfs count="711">
    <xf numFmtId="0" fontId="0" fillId="0" borderId="0" xfId="0"/>
    <xf numFmtId="0" fontId="9" fillId="0" borderId="1" xfId="4" applyFont="1" applyBorder="1"/>
    <xf numFmtId="1" fontId="8" fillId="0" borderId="6" xfId="4" applyNumberFormat="1" applyFont="1" applyBorder="1" applyAlignment="1">
      <alignment horizontal="center"/>
    </xf>
    <xf numFmtId="0" fontId="9" fillId="5" borderId="1" xfId="4" applyFont="1" applyFill="1" applyBorder="1"/>
    <xf numFmtId="1" fontId="8" fillId="0" borderId="1" xfId="5" applyNumberFormat="1" applyFont="1" applyFill="1" applyBorder="1" applyAlignment="1">
      <alignment horizontal="center"/>
    </xf>
    <xf numFmtId="0" fontId="9" fillId="0" borderId="0" xfId="4" applyFont="1"/>
    <xf numFmtId="0" fontId="10" fillId="7" borderId="12" xfId="4" applyFont="1" applyFill="1" applyBorder="1" applyAlignment="1">
      <alignment horizontal="right"/>
    </xf>
    <xf numFmtId="2" fontId="9" fillId="7" borderId="1" xfId="4" applyNumberFormat="1" applyFont="1" applyFill="1" applyBorder="1" applyAlignment="1">
      <alignment horizontal="center"/>
    </xf>
    <xf numFmtId="0" fontId="10" fillId="7" borderId="14" xfId="4" applyFont="1" applyFill="1" applyBorder="1" applyAlignment="1">
      <alignment horizontal="right"/>
    </xf>
    <xf numFmtId="0" fontId="9" fillId="0" borderId="0" xfId="4" applyFont="1" applyFill="1"/>
    <xf numFmtId="0" fontId="9" fillId="7" borderId="17" xfId="4" applyFont="1" applyFill="1" applyBorder="1"/>
    <xf numFmtId="1" fontId="8" fillId="7" borderId="18" xfId="4" applyNumberFormat="1" applyFont="1" applyFill="1" applyBorder="1" applyAlignment="1">
      <alignment horizontal="center"/>
    </xf>
    <xf numFmtId="0" fontId="9" fillId="0" borderId="0" xfId="5" applyFont="1" applyFill="1" applyBorder="1" applyAlignment="1"/>
    <xf numFmtId="0" fontId="9" fillId="7" borderId="12" xfId="4" applyFont="1" applyFill="1" applyBorder="1"/>
    <xf numFmtId="0" fontId="8" fillId="7" borderId="13" xfId="4" applyFont="1" applyFill="1" applyBorder="1" applyAlignment="1">
      <alignment horizontal="center"/>
    </xf>
    <xf numFmtId="0" fontId="9" fillId="0" borderId="0" xfId="4" applyFont="1" applyFill="1" applyBorder="1"/>
    <xf numFmtId="1" fontId="8" fillId="7" borderId="13" xfId="4" applyNumberFormat="1" applyFont="1" applyFill="1" applyBorder="1" applyAlignment="1">
      <alignment horizontal="center"/>
    </xf>
    <xf numFmtId="0" fontId="9" fillId="0" borderId="0" xfId="5" applyFont="1" applyFill="1" applyBorder="1"/>
    <xf numFmtId="1" fontId="8" fillId="0" borderId="0" xfId="5" applyNumberFormat="1" applyFont="1" applyFill="1" applyBorder="1" applyAlignment="1"/>
    <xf numFmtId="0" fontId="8" fillId="0" borderId="0" xfId="5" applyFont="1" applyFill="1" applyBorder="1" applyAlignment="1"/>
    <xf numFmtId="0" fontId="9" fillId="7" borderId="13" xfId="4" applyFont="1" applyFill="1" applyBorder="1" applyAlignment="1">
      <alignment horizontal="center"/>
    </xf>
    <xf numFmtId="1" fontId="8" fillId="0" borderId="0" xfId="5" applyNumberFormat="1" applyFont="1" applyFill="1" applyBorder="1" applyAlignment="1">
      <alignment horizontal="center"/>
    </xf>
    <xf numFmtId="0" fontId="8" fillId="0" borderId="0" xfId="4" applyFont="1" applyFill="1" applyBorder="1" applyAlignment="1">
      <alignment horizontal="center"/>
    </xf>
    <xf numFmtId="0" fontId="9" fillId="0" borderId="0" xfId="4" applyFont="1" applyFill="1" applyBorder="1" applyAlignment="1">
      <alignment horizontal="center"/>
    </xf>
    <xf numFmtId="2" fontId="9" fillId="0" borderId="0" xfId="4" applyNumberFormat="1" applyFont="1" applyFill="1" applyBorder="1" applyAlignment="1">
      <alignment horizontal="center"/>
    </xf>
    <xf numFmtId="0" fontId="9" fillId="0" borderId="0" xfId="0" applyFont="1"/>
    <xf numFmtId="164" fontId="8" fillId="0" borderId="0" xfId="4" applyNumberFormat="1" applyFont="1" applyFill="1" applyBorder="1" applyAlignment="1">
      <alignment horizontal="center"/>
    </xf>
    <xf numFmtId="1" fontId="8" fillId="5" borderId="1" xfId="4" applyNumberFormat="1" applyFont="1" applyFill="1" applyBorder="1" applyAlignment="1">
      <alignment horizontal="center"/>
    </xf>
    <xf numFmtId="9" fontId="9" fillId="0" borderId="1" xfId="3" applyFont="1" applyFill="1" applyBorder="1" applyAlignment="1">
      <alignment horizontal="center"/>
    </xf>
    <xf numFmtId="0" fontId="9" fillId="0" borderId="1" xfId="4" applyFont="1" applyFill="1" applyBorder="1"/>
    <xf numFmtId="166" fontId="9" fillId="3" borderId="1" xfId="9" applyNumberFormat="1" applyFont="1" applyFill="1" applyBorder="1" applyAlignment="1">
      <alignment horizontal="center"/>
    </xf>
    <xf numFmtId="0" fontId="9" fillId="0" borderId="0" xfId="5" applyFont="1" applyFill="1"/>
    <xf numFmtId="2" fontId="13" fillId="0" borderId="0" xfId="4" applyNumberFormat="1" applyFont="1" applyFill="1" applyBorder="1" applyAlignment="1">
      <alignment horizontal="center"/>
    </xf>
    <xf numFmtId="0" fontId="9" fillId="0" borderId="1" xfId="0" applyFont="1" applyFill="1" applyBorder="1" applyAlignment="1">
      <alignment horizontal="right"/>
    </xf>
    <xf numFmtId="0" fontId="9" fillId="3" borderId="1" xfId="0" applyFont="1" applyFill="1" applyBorder="1" applyAlignment="1">
      <alignment horizontal="center" textRotation="90"/>
    </xf>
    <xf numFmtId="0" fontId="9" fillId="3" borderId="0" xfId="0" applyFont="1" applyFill="1" applyBorder="1"/>
    <xf numFmtId="0" fontId="9" fillId="3" borderId="0" xfId="0" applyFont="1" applyFill="1"/>
    <xf numFmtId="0" fontId="9" fillId="3" borderId="2" xfId="0" applyFont="1" applyFill="1" applyBorder="1" applyAlignment="1">
      <alignment horizontal="center"/>
    </xf>
    <xf numFmtId="0" fontId="9" fillId="3" borderId="1" xfId="0" applyFont="1" applyFill="1" applyBorder="1" applyAlignment="1">
      <alignment horizontal="center"/>
    </xf>
    <xf numFmtId="0" fontId="9" fillId="3" borderId="0" xfId="0" applyFont="1" applyFill="1" applyBorder="1" applyAlignment="1">
      <alignment vertical="top" wrapText="1"/>
    </xf>
    <xf numFmtId="0" fontId="9" fillId="3" borderId="0" xfId="0" applyFont="1" applyFill="1" applyBorder="1" applyAlignment="1"/>
    <xf numFmtId="0" fontId="9" fillId="3" borderId="0" xfId="0" applyFont="1" applyFill="1" applyAlignment="1"/>
    <xf numFmtId="0" fontId="9" fillId="3" borderId="1" xfId="0" applyFont="1" applyFill="1" applyBorder="1"/>
    <xf numFmtId="0" fontId="9" fillId="3" borderId="0" xfId="0" applyFont="1" applyFill="1" applyBorder="1" applyAlignment="1">
      <alignment horizontal="center"/>
    </xf>
    <xf numFmtId="0" fontId="9" fillId="2" borderId="0" xfId="0" applyFont="1" applyFill="1"/>
    <xf numFmtId="0" fontId="9" fillId="4" borderId="0" xfId="0" applyFont="1" applyFill="1"/>
    <xf numFmtId="0" fontId="10" fillId="0" borderId="0" xfId="4" applyFont="1" applyFill="1" applyBorder="1" applyAlignment="1"/>
    <xf numFmtId="0" fontId="13" fillId="0" borderId="0" xfId="5" applyFont="1" applyBorder="1"/>
    <xf numFmtId="0" fontId="9" fillId="0" borderId="0" xfId="6" applyFont="1" applyFill="1" applyBorder="1" applyAlignment="1">
      <alignment horizontal="center"/>
    </xf>
    <xf numFmtId="0" fontId="9" fillId="0" borderId="0" xfId="5" applyFont="1" applyBorder="1"/>
    <xf numFmtId="0" fontId="9" fillId="0" borderId="0" xfId="6" applyFont="1" applyFill="1" applyBorder="1" applyAlignment="1">
      <alignment horizontal="left"/>
    </xf>
    <xf numFmtId="0" fontId="9" fillId="7" borderId="14" xfId="4" applyFont="1" applyFill="1" applyBorder="1" applyAlignment="1">
      <alignment horizontal="right"/>
    </xf>
    <xf numFmtId="2" fontId="14" fillId="7" borderId="16" xfId="4" applyNumberFormat="1" applyFont="1" applyFill="1" applyBorder="1" applyAlignment="1">
      <alignment horizontal="right"/>
    </xf>
    <xf numFmtId="2" fontId="13" fillId="7" borderId="1" xfId="4" applyNumberFormat="1" applyFont="1" applyFill="1" applyBorder="1" applyAlignment="1">
      <alignment horizontal="center"/>
    </xf>
    <xf numFmtId="0" fontId="9" fillId="3" borderId="0" xfId="0" applyFont="1" applyFill="1" applyBorder="1" applyAlignment="1">
      <alignment vertical="center" wrapText="1"/>
    </xf>
    <xf numFmtId="164" fontId="9" fillId="0" borderId="3" xfId="0" applyNumberFormat="1" applyFont="1" applyFill="1" applyBorder="1" applyAlignment="1">
      <alignment horizontal="center"/>
    </xf>
    <xf numFmtId="164" fontId="9" fillId="3" borderId="0" xfId="5" applyNumberFormat="1" applyFont="1" applyFill="1" applyBorder="1"/>
    <xf numFmtId="9" fontId="9" fillId="3" borderId="0" xfId="8" applyFont="1" applyFill="1" applyBorder="1"/>
    <xf numFmtId="0" fontId="10" fillId="3" borderId="0" xfId="5" applyFont="1" applyFill="1" applyBorder="1"/>
    <xf numFmtId="0" fontId="9" fillId="3" borderId="0" xfId="5" applyFont="1" applyFill="1" applyBorder="1" applyAlignment="1">
      <alignment horizontal="center"/>
    </xf>
    <xf numFmtId="0" fontId="15" fillId="3" borderId="0" xfId="0" applyFont="1" applyFill="1" applyAlignment="1">
      <alignment horizontal="right" vertical="center"/>
    </xf>
    <xf numFmtId="0" fontId="15" fillId="0" borderId="0" xfId="0" applyFont="1" applyFill="1" applyBorder="1" applyAlignment="1"/>
    <xf numFmtId="0" fontId="16" fillId="3" borderId="0" xfId="0" applyFont="1" applyFill="1"/>
    <xf numFmtId="0" fontId="16" fillId="3" borderId="0" xfId="0" applyFont="1" applyFill="1" applyAlignment="1">
      <alignment horizontal="right"/>
    </xf>
    <xf numFmtId="0" fontId="16" fillId="0" borderId="0" xfId="0" applyFont="1"/>
    <xf numFmtId="0" fontId="9" fillId="3" borderId="1" xfId="10" applyFont="1" applyFill="1" applyBorder="1" applyAlignment="1">
      <alignment horizontal="center" textRotation="90" wrapText="1"/>
    </xf>
    <xf numFmtId="0" fontId="9" fillId="0" borderId="1" xfId="10" applyFont="1" applyBorder="1" applyAlignment="1">
      <alignment horizontal="center"/>
    </xf>
    <xf numFmtId="9" fontId="9" fillId="0" borderId="7" xfId="3" applyFont="1" applyFill="1" applyBorder="1" applyAlignment="1">
      <alignment horizontal="center"/>
    </xf>
    <xf numFmtId="166" fontId="9" fillId="0" borderId="1" xfId="11" applyNumberFormat="1" applyFont="1" applyFill="1" applyBorder="1" applyAlignment="1">
      <alignment horizontal="center"/>
    </xf>
    <xf numFmtId="166" fontId="9" fillId="0" borderId="6" xfId="11" applyNumberFormat="1" applyFont="1" applyFill="1" applyBorder="1" applyAlignment="1">
      <alignment horizontal="center"/>
    </xf>
    <xf numFmtId="9" fontId="9" fillId="0" borderId="1" xfId="3" applyFont="1" applyBorder="1" applyAlignment="1">
      <alignment horizontal="center"/>
    </xf>
    <xf numFmtId="2" fontId="9" fillId="7" borderId="21" xfId="10" applyNumberFormat="1" applyFont="1" applyFill="1" applyBorder="1" applyAlignment="1">
      <alignment horizontal="center"/>
    </xf>
    <xf numFmtId="2" fontId="9" fillId="7" borderId="13" xfId="10" applyNumberFormat="1" applyFont="1" applyFill="1" applyBorder="1" applyAlignment="1">
      <alignment horizontal="center"/>
    </xf>
    <xf numFmtId="2" fontId="13" fillId="7" borderId="13" xfId="10" applyNumberFormat="1" applyFont="1" applyFill="1" applyBorder="1" applyAlignment="1">
      <alignment horizontal="center"/>
    </xf>
    <xf numFmtId="2" fontId="9" fillId="7" borderId="6" xfId="4" applyNumberFormat="1" applyFont="1" applyFill="1" applyBorder="1" applyAlignment="1">
      <alignment horizontal="center"/>
    </xf>
    <xf numFmtId="2" fontId="9" fillId="7" borderId="18" xfId="10" applyNumberFormat="1" applyFont="1" applyFill="1" applyBorder="1" applyAlignment="1">
      <alignment horizontal="center"/>
    </xf>
    <xf numFmtId="0" fontId="9" fillId="0" borderId="1" xfId="10" applyFont="1" applyBorder="1" applyAlignment="1">
      <alignment horizontal="left"/>
    </xf>
    <xf numFmtId="0" fontId="9" fillId="0" borderId="1" xfId="10" applyFont="1" applyBorder="1"/>
    <xf numFmtId="0" fontId="9" fillId="0" borderId="1" xfId="10" applyFont="1" applyFill="1" applyBorder="1"/>
    <xf numFmtId="0" fontId="9" fillId="0" borderId="8" xfId="10" applyFont="1" applyFill="1" applyBorder="1"/>
    <xf numFmtId="0" fontId="9" fillId="0" borderId="1" xfId="10" applyFont="1" applyFill="1" applyBorder="1" applyAlignment="1">
      <alignment horizontal="right"/>
    </xf>
    <xf numFmtId="0" fontId="9" fillId="0" borderId="0" xfId="10" applyFont="1" applyFill="1" applyBorder="1"/>
    <xf numFmtId="0" fontId="9" fillId="0" borderId="0" xfId="10" applyFont="1" applyFill="1" applyBorder="1" applyAlignment="1">
      <alignment horizontal="right"/>
    </xf>
    <xf numFmtId="0" fontId="9" fillId="0" borderId="0" xfId="10" applyFont="1"/>
    <xf numFmtId="0" fontId="9" fillId="7" borderId="23" xfId="10" applyFont="1" applyFill="1" applyBorder="1" applyAlignment="1">
      <alignment horizontal="right"/>
    </xf>
    <xf numFmtId="0" fontId="9" fillId="7" borderId="24" xfId="10" applyFont="1" applyFill="1" applyBorder="1" applyAlignment="1">
      <alignment horizontal="center"/>
    </xf>
    <xf numFmtId="0" fontId="9" fillId="7" borderId="14" xfId="10" applyFont="1" applyFill="1" applyBorder="1" applyAlignment="1">
      <alignment horizontal="right"/>
    </xf>
    <xf numFmtId="0" fontId="9" fillId="7" borderId="15" xfId="10" applyFont="1" applyFill="1" applyBorder="1" applyAlignment="1">
      <alignment horizontal="center"/>
    </xf>
    <xf numFmtId="0" fontId="9" fillId="7" borderId="21" xfId="10" applyFont="1" applyFill="1" applyBorder="1" applyAlignment="1">
      <alignment horizontal="center"/>
    </xf>
    <xf numFmtId="0" fontId="9" fillId="7" borderId="16" xfId="10" applyFont="1" applyFill="1" applyBorder="1" applyAlignment="1">
      <alignment horizontal="center"/>
    </xf>
    <xf numFmtId="0" fontId="10" fillId="7" borderId="23" xfId="4" applyFont="1" applyFill="1" applyBorder="1" applyAlignment="1">
      <alignment horizontal="right"/>
    </xf>
    <xf numFmtId="2" fontId="9" fillId="7" borderId="24" xfId="4" applyNumberFormat="1" applyFont="1" applyFill="1" applyBorder="1" applyAlignment="1">
      <alignment horizontal="center"/>
    </xf>
    <xf numFmtId="0" fontId="10" fillId="0" borderId="0" xfId="4" applyFont="1" applyFill="1" applyBorder="1" applyAlignment="1">
      <alignment wrapText="1"/>
    </xf>
    <xf numFmtId="0" fontId="21" fillId="0" borderId="0" xfId="10" applyFont="1"/>
    <xf numFmtId="165" fontId="21" fillId="0" borderId="21" xfId="10" applyNumberFormat="1" applyFont="1" applyBorder="1"/>
    <xf numFmtId="0" fontId="21" fillId="0" borderId="12" xfId="10" applyFont="1" applyBorder="1"/>
    <xf numFmtId="165" fontId="21" fillId="0" borderId="13" xfId="10" applyNumberFormat="1" applyFont="1" applyBorder="1"/>
    <xf numFmtId="0" fontId="21" fillId="0" borderId="0" xfId="10" applyFont="1" applyBorder="1"/>
    <xf numFmtId="165" fontId="21" fillId="0" borderId="0" xfId="10" applyNumberFormat="1" applyFont="1" applyBorder="1"/>
    <xf numFmtId="0" fontId="21" fillId="0" borderId="14" xfId="10" applyFont="1" applyBorder="1"/>
    <xf numFmtId="165" fontId="21" fillId="0" borderId="16" xfId="10" applyNumberFormat="1" applyFont="1" applyBorder="1"/>
    <xf numFmtId="0" fontId="20" fillId="0" borderId="27" xfId="10" applyFont="1" applyBorder="1" applyAlignment="1">
      <alignment horizontal="center"/>
    </xf>
    <xf numFmtId="0" fontId="20" fillId="0" borderId="28" xfId="10" applyFont="1" applyBorder="1" applyAlignment="1">
      <alignment horizontal="center"/>
    </xf>
    <xf numFmtId="0" fontId="23" fillId="0" borderId="0" xfId="15" applyFont="1"/>
    <xf numFmtId="0" fontId="24" fillId="0" borderId="0" xfId="0" applyFont="1"/>
    <xf numFmtId="0" fontId="18" fillId="0" borderId="0" xfId="0" applyFont="1"/>
    <xf numFmtId="0" fontId="25" fillId="0" borderId="0" xfId="0" applyFont="1" applyAlignment="1">
      <alignment horizontal="center" vertical="center"/>
    </xf>
    <xf numFmtId="0" fontId="25" fillId="0" borderId="0" xfId="0" applyFont="1" applyAlignment="1">
      <alignment horizontal="center"/>
    </xf>
    <xf numFmtId="0" fontId="21" fillId="0" borderId="0" xfId="0" applyFont="1"/>
    <xf numFmtId="15"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center"/>
    </xf>
    <xf numFmtId="0" fontId="21" fillId="0" borderId="0" xfId="0" applyFont="1" applyAlignment="1">
      <alignment horizontal="center" vertical="center"/>
    </xf>
    <xf numFmtId="0" fontId="19" fillId="0" borderId="0" xfId="14" applyFont="1" applyFill="1" applyBorder="1" applyAlignment="1" applyProtection="1"/>
    <xf numFmtId="0" fontId="12" fillId="0" borderId="0" xfId="0" applyFont="1"/>
    <xf numFmtId="0" fontId="18" fillId="3" borderId="0" xfId="0" applyFont="1" applyFill="1"/>
    <xf numFmtId="0" fontId="10" fillId="0" borderId="0" xfId="10" applyFont="1" applyFill="1" applyBorder="1"/>
    <xf numFmtId="0" fontId="9" fillId="0" borderId="0" xfId="0" applyFont="1" applyBorder="1" applyAlignment="1"/>
    <xf numFmtId="164" fontId="9" fillId="3" borderId="3" xfId="0" applyNumberFormat="1" applyFont="1" applyFill="1" applyBorder="1" applyAlignment="1">
      <alignment horizontal="center"/>
    </xf>
    <xf numFmtId="164" fontId="9" fillId="3" borderId="4" xfId="0" applyNumberFormat="1" applyFont="1" applyFill="1" applyBorder="1" applyAlignment="1">
      <alignment horizontal="center"/>
    </xf>
    <xf numFmtId="164" fontId="9" fillId="3" borderId="5" xfId="0" applyNumberFormat="1" applyFont="1" applyFill="1" applyBorder="1" applyAlignment="1">
      <alignment horizontal="center"/>
    </xf>
    <xf numFmtId="0" fontId="10" fillId="0" borderId="3" xfId="16" applyFont="1" applyFill="1" applyBorder="1"/>
    <xf numFmtId="164" fontId="9" fillId="0" borderId="4" xfId="0" applyNumberFormat="1" applyFont="1" applyFill="1" applyBorder="1" applyAlignment="1">
      <alignment horizontal="center"/>
    </xf>
    <xf numFmtId="164" fontId="9" fillId="0" borderId="5" xfId="0" applyNumberFormat="1" applyFont="1" applyFill="1" applyBorder="1" applyAlignment="1">
      <alignment horizontal="center"/>
    </xf>
    <xf numFmtId="9" fontId="9" fillId="0" borderId="3" xfId="3" applyFont="1" applyFill="1" applyBorder="1" applyAlignment="1">
      <alignment horizontal="center"/>
    </xf>
    <xf numFmtId="0" fontId="13" fillId="0" borderId="3" xfId="10" applyFont="1" applyBorder="1"/>
    <xf numFmtId="0" fontId="13" fillId="0" borderId="8" xfId="10" applyFont="1" applyFill="1" applyBorder="1"/>
    <xf numFmtId="9" fontId="9" fillId="0" borderId="2" xfId="3" applyFont="1" applyFill="1" applyBorder="1" applyAlignment="1">
      <alignment horizontal="center"/>
    </xf>
    <xf numFmtId="164" fontId="9" fillId="0" borderId="6" xfId="11" applyNumberFormat="1" applyFont="1" applyFill="1" applyBorder="1" applyAlignment="1">
      <alignment horizontal="center"/>
    </xf>
    <xf numFmtId="9" fontId="9" fillId="0" borderId="4" xfId="3" applyFont="1" applyFill="1" applyBorder="1" applyAlignment="1">
      <alignment horizontal="center"/>
    </xf>
    <xf numFmtId="166" fontId="9" fillId="0" borderId="7" xfId="11" applyNumberFormat="1" applyFont="1" applyFill="1" applyBorder="1" applyAlignment="1">
      <alignment horizontal="center"/>
    </xf>
    <xf numFmtId="166" fontId="9" fillId="0" borderId="5" xfId="11" applyNumberFormat="1" applyFont="1" applyFill="1" applyBorder="1" applyAlignment="1">
      <alignment horizontal="center"/>
    </xf>
    <xf numFmtId="0" fontId="12" fillId="3" borderId="2" xfId="0" applyFont="1" applyFill="1" applyBorder="1" applyAlignment="1">
      <alignment horizontal="center"/>
    </xf>
    <xf numFmtId="2" fontId="9" fillId="0" borderId="6" xfId="10" applyNumberFormat="1" applyFont="1" applyFill="1" applyBorder="1" applyAlignment="1">
      <alignment horizontal="center"/>
    </xf>
    <xf numFmtId="0" fontId="9" fillId="0" borderId="5" xfId="10" applyFont="1" applyBorder="1"/>
    <xf numFmtId="15" fontId="21" fillId="0" borderId="1" xfId="0" applyNumberFormat="1" applyFont="1" applyBorder="1" applyAlignment="1">
      <alignment horizontal="center"/>
    </xf>
    <xf numFmtId="0" fontId="21" fillId="0" borderId="1" xfId="0" applyFont="1" applyFill="1" applyBorder="1" applyAlignment="1">
      <alignment horizontal="center" vertical="center"/>
    </xf>
    <xf numFmtId="0" fontId="10" fillId="7" borderId="27" xfId="10" applyFont="1" applyFill="1" applyBorder="1" applyAlignment="1">
      <alignment horizontal="right"/>
    </xf>
    <xf numFmtId="2" fontId="13" fillId="7" borderId="29" xfId="10" applyNumberFormat="1" applyFont="1" applyFill="1" applyBorder="1" applyAlignment="1">
      <alignment horizontal="center"/>
    </xf>
    <xf numFmtId="2" fontId="13" fillId="7" borderId="20" xfId="10" applyNumberFormat="1" applyFont="1" applyFill="1" applyBorder="1" applyAlignment="1">
      <alignment horizontal="center"/>
    </xf>
    <xf numFmtId="2" fontId="9" fillId="7" borderId="2" xfId="4" applyNumberFormat="1" applyFont="1" applyFill="1" applyBorder="1" applyAlignment="1">
      <alignment horizontal="center"/>
    </xf>
    <xf numFmtId="2" fontId="9" fillId="7" borderId="31" xfId="10" applyNumberFormat="1" applyFont="1" applyFill="1" applyBorder="1" applyAlignment="1">
      <alignment horizontal="center"/>
    </xf>
    <xf numFmtId="2" fontId="13" fillId="7" borderId="28" xfId="10" applyNumberFormat="1" applyFont="1" applyFill="1" applyBorder="1" applyAlignment="1">
      <alignment horizontal="center"/>
    </xf>
    <xf numFmtId="0" fontId="21" fillId="0" borderId="1" xfId="0" applyFont="1" applyBorder="1" applyAlignment="1">
      <alignment wrapText="1"/>
    </xf>
    <xf numFmtId="0" fontId="21" fillId="0" borderId="1" xfId="0" applyFont="1" applyBorder="1" applyAlignment="1">
      <alignment horizontal="left" wrapText="1"/>
    </xf>
    <xf numFmtId="0" fontId="21" fillId="0" borderId="1" xfId="0" applyFont="1" applyFill="1" applyBorder="1" applyAlignment="1">
      <alignment wrapText="1"/>
    </xf>
    <xf numFmtId="0" fontId="21" fillId="0" borderId="1" xfId="0" applyFont="1" applyBorder="1"/>
    <xf numFmtId="0" fontId="9" fillId="8" borderId="1" xfId="0" applyFont="1" applyFill="1" applyBorder="1"/>
    <xf numFmtId="0" fontId="9" fillId="0" borderId="1" xfId="0" applyFont="1" applyFill="1" applyBorder="1" applyAlignment="1">
      <alignment horizontal="center" textRotation="90"/>
    </xf>
    <xf numFmtId="0" fontId="9" fillId="5" borderId="1" xfId="4" applyFont="1" applyFill="1" applyBorder="1" applyAlignment="1">
      <alignment horizontal="center"/>
    </xf>
    <xf numFmtId="0" fontId="9" fillId="7" borderId="33" xfId="10" applyFont="1" applyFill="1" applyBorder="1" applyAlignment="1">
      <alignment horizontal="center"/>
    </xf>
    <xf numFmtId="0" fontId="12" fillId="0" borderId="0" xfId="0" applyFont="1" applyAlignment="1">
      <alignment horizontal="center"/>
    </xf>
    <xf numFmtId="2" fontId="9" fillId="0" borderId="6" xfId="10" applyNumberFormat="1" applyFont="1" applyBorder="1" applyAlignment="1">
      <alignment horizontal="center"/>
    </xf>
    <xf numFmtId="9" fontId="9" fillId="0" borderId="1" xfId="10" applyNumberFormat="1" applyFont="1" applyBorder="1" applyAlignment="1">
      <alignment horizontal="center"/>
    </xf>
    <xf numFmtId="164" fontId="9" fillId="0" borderId="1" xfId="10" applyNumberFormat="1" applyFont="1" applyFill="1" applyBorder="1" applyAlignment="1">
      <alignment horizontal="center"/>
    </xf>
    <xf numFmtId="164" fontId="9" fillId="0" borderId="6" xfId="10" applyNumberFormat="1" applyFont="1" applyFill="1" applyBorder="1" applyAlignment="1">
      <alignment horizontal="center"/>
    </xf>
    <xf numFmtId="9" fontId="9" fillId="0" borderId="1" xfId="10" applyNumberFormat="1" applyFont="1" applyFill="1" applyBorder="1" applyAlignment="1">
      <alignment horizontal="center"/>
    </xf>
    <xf numFmtId="164" fontId="9" fillId="3" borderId="0" xfId="0" applyNumberFormat="1" applyFont="1" applyFill="1" applyAlignment="1"/>
    <xf numFmtId="1" fontId="9" fillId="3" borderId="0" xfId="0" applyNumberFormat="1" applyFont="1" applyFill="1" applyAlignment="1"/>
    <xf numFmtId="0" fontId="9" fillId="3" borderId="0" xfId="10" applyFont="1" applyFill="1" applyAlignment="1"/>
    <xf numFmtId="0" fontId="9" fillId="0" borderId="0" xfId="0" applyFont="1" applyAlignment="1"/>
    <xf numFmtId="0" fontId="9" fillId="2" borderId="0" xfId="0" applyFont="1" applyFill="1" applyAlignment="1"/>
    <xf numFmtId="0" fontId="9" fillId="4" borderId="0" xfId="0" applyFont="1" applyFill="1" applyAlignment="1"/>
    <xf numFmtId="0" fontId="9" fillId="0" borderId="0" xfId="4" applyFont="1" applyAlignment="1"/>
    <xf numFmtId="0" fontId="9" fillId="0" borderId="0" xfId="4" applyFont="1" applyFill="1" applyAlignment="1"/>
    <xf numFmtId="1" fontId="9" fillId="0" borderId="6" xfId="4" applyNumberFormat="1" applyFont="1" applyBorder="1" applyAlignment="1">
      <alignment horizontal="center"/>
    </xf>
    <xf numFmtId="1" fontId="9" fillId="0" borderId="1" xfId="4" applyNumberFormat="1" applyFont="1" applyFill="1" applyBorder="1" applyAlignment="1">
      <alignment horizontal="center"/>
    </xf>
    <xf numFmtId="0" fontId="9" fillId="0" borderId="3" xfId="16" applyFont="1" applyBorder="1"/>
    <xf numFmtId="0" fontId="9" fillId="0" borderId="4" xfId="16" applyFont="1" applyBorder="1" applyAlignment="1">
      <alignment horizontal="centerContinuous" vertical="center"/>
    </xf>
    <xf numFmtId="164" fontId="11" fillId="0" borderId="3" xfId="16" applyNumberFormat="1" applyFont="1" applyFill="1" applyBorder="1" applyAlignment="1">
      <alignment horizontal="center"/>
    </xf>
    <xf numFmtId="164" fontId="11" fillId="0" borderId="4" xfId="16" applyNumberFormat="1" applyFont="1" applyFill="1" applyBorder="1" applyAlignment="1">
      <alignment horizontal="center"/>
    </xf>
    <xf numFmtId="0" fontId="9" fillId="0" borderId="0" xfId="15" applyFont="1" applyFill="1" applyBorder="1" applyAlignment="1">
      <alignment horizontal="right"/>
    </xf>
    <xf numFmtId="0" fontId="8" fillId="0" borderId="0" xfId="16" applyFont="1" applyFill="1" applyBorder="1" applyAlignment="1">
      <alignment horizontal="center"/>
    </xf>
    <xf numFmtId="0" fontId="9" fillId="0" borderId="1" xfId="16" applyFont="1" applyBorder="1"/>
    <xf numFmtId="1" fontId="8" fillId="0" borderId="6" xfId="16" applyNumberFormat="1" applyFont="1" applyBorder="1" applyAlignment="1">
      <alignment horizontal="center"/>
    </xf>
    <xf numFmtId="1" fontId="8" fillId="0" borderId="0" xfId="16" applyNumberFormat="1" applyFont="1" applyFill="1" applyBorder="1" applyAlignment="1">
      <alignment horizontal="center"/>
    </xf>
    <xf numFmtId="164" fontId="8" fillId="0" borderId="0" xfId="16" applyNumberFormat="1" applyFont="1" applyFill="1" applyBorder="1" applyAlignment="1">
      <alignment horizontal="center"/>
    </xf>
    <xf numFmtId="0" fontId="9" fillId="5" borderId="1" xfId="16" applyFont="1" applyFill="1" applyBorder="1"/>
    <xf numFmtId="1" fontId="8" fillId="5" borderId="1" xfId="16" applyNumberFormat="1" applyFont="1" applyFill="1" applyBorder="1" applyAlignment="1">
      <alignment horizontal="center"/>
    </xf>
    <xf numFmtId="1" fontId="8" fillId="0" borderId="1" xfId="15" applyNumberFormat="1" applyFont="1" applyFill="1" applyBorder="1" applyAlignment="1">
      <alignment horizontal="center"/>
    </xf>
    <xf numFmtId="1" fontId="8" fillId="0" borderId="0" xfId="15" applyNumberFormat="1" applyFont="1" applyFill="1" applyBorder="1" applyAlignment="1">
      <alignment horizontal="center"/>
    </xf>
    <xf numFmtId="0" fontId="9" fillId="0" borderId="0" xfId="16" applyFont="1"/>
    <xf numFmtId="0" fontId="9" fillId="0" borderId="0" xfId="16" applyFont="1" applyFill="1" applyBorder="1" applyAlignment="1">
      <alignment horizontal="center"/>
    </xf>
    <xf numFmtId="0" fontId="9" fillId="0" borderId="0" xfId="15" applyFont="1" applyFill="1"/>
    <xf numFmtId="0" fontId="10" fillId="7" borderId="17" xfId="16" applyFont="1" applyFill="1" applyBorder="1" applyAlignment="1">
      <alignment horizontal="right"/>
    </xf>
    <xf numFmtId="2" fontId="9" fillId="7" borderId="6" xfId="16" applyNumberFormat="1" applyFont="1" applyFill="1" applyBorder="1" applyAlignment="1">
      <alignment horizontal="center"/>
    </xf>
    <xf numFmtId="2" fontId="9" fillId="0" borderId="0" xfId="16" applyNumberFormat="1" applyFont="1" applyFill="1" applyBorder="1" applyAlignment="1">
      <alignment horizontal="center"/>
    </xf>
    <xf numFmtId="0" fontId="10" fillId="7" borderId="12" xfId="16" applyFont="1" applyFill="1" applyBorder="1" applyAlignment="1">
      <alignment horizontal="right"/>
    </xf>
    <xf numFmtId="2" fontId="9" fillId="7" borderId="1" xfId="16" applyNumberFormat="1" applyFont="1" applyFill="1" applyBorder="1" applyAlignment="1">
      <alignment horizontal="center"/>
    </xf>
    <xf numFmtId="2" fontId="13" fillId="7" borderId="1" xfId="16" applyNumberFormat="1" applyFont="1" applyFill="1" applyBorder="1" applyAlignment="1">
      <alignment horizontal="center"/>
    </xf>
    <xf numFmtId="2" fontId="13" fillId="0" borderId="0" xfId="16" applyNumberFormat="1" applyFont="1" applyFill="1" applyBorder="1" applyAlignment="1">
      <alignment horizontal="center"/>
    </xf>
    <xf numFmtId="0" fontId="10" fillId="7" borderId="30" xfId="16" applyFont="1" applyFill="1" applyBorder="1" applyAlignment="1">
      <alignment horizontal="right"/>
    </xf>
    <xf numFmtId="2" fontId="9" fillId="7" borderId="2" xfId="16" applyNumberFormat="1" applyFont="1" applyFill="1" applyBorder="1" applyAlignment="1">
      <alignment horizontal="center"/>
    </xf>
    <xf numFmtId="2" fontId="13" fillId="7" borderId="29" xfId="16" applyNumberFormat="1" applyFont="1" applyFill="1" applyBorder="1" applyAlignment="1">
      <alignment horizontal="center"/>
    </xf>
    <xf numFmtId="0" fontId="9" fillId="7" borderId="17" xfId="16" applyFont="1" applyFill="1" applyBorder="1" applyAlignment="1">
      <alignment horizontal="right"/>
    </xf>
    <xf numFmtId="2" fontId="14" fillId="7" borderId="18" xfId="16" applyNumberFormat="1" applyFont="1" applyFill="1" applyBorder="1" applyAlignment="1">
      <alignment horizontal="right"/>
    </xf>
    <xf numFmtId="0" fontId="9" fillId="7" borderId="14" xfId="16" applyFont="1" applyFill="1" applyBorder="1" applyAlignment="1">
      <alignment horizontal="right"/>
    </xf>
    <xf numFmtId="2" fontId="14" fillId="7" borderId="16" xfId="16" applyNumberFormat="1" applyFont="1" applyFill="1" applyBorder="1" applyAlignment="1">
      <alignment horizontal="right"/>
    </xf>
    <xf numFmtId="0" fontId="9" fillId="0" borderId="0" xfId="16" applyFont="1" applyFill="1"/>
    <xf numFmtId="0" fontId="9" fillId="0" borderId="0" xfId="16" applyFont="1" applyFill="1" applyBorder="1"/>
    <xf numFmtId="0" fontId="9" fillId="7" borderId="17" xfId="16" applyFont="1" applyFill="1" applyBorder="1"/>
    <xf numFmtId="1" fontId="8" fillId="7" borderId="18" xfId="16" applyNumberFormat="1" applyFont="1" applyFill="1" applyBorder="1" applyAlignment="1">
      <alignment horizontal="center"/>
    </xf>
    <xf numFmtId="0" fontId="9" fillId="0" borderId="0" xfId="15" applyFont="1" applyFill="1" applyBorder="1" applyAlignment="1"/>
    <xf numFmtId="0" fontId="9" fillId="7" borderId="12" xfId="16" applyFont="1" applyFill="1" applyBorder="1"/>
    <xf numFmtId="0" fontId="8" fillId="7" borderId="13" xfId="16" applyFont="1" applyFill="1" applyBorder="1" applyAlignment="1">
      <alignment horizontal="center"/>
    </xf>
    <xf numFmtId="1" fontId="8" fillId="7" borderId="13" xfId="16" applyNumberFormat="1" applyFont="1" applyFill="1" applyBorder="1" applyAlignment="1">
      <alignment horizontal="center"/>
    </xf>
    <xf numFmtId="0" fontId="9" fillId="7" borderId="13" xfId="16" applyFont="1" applyFill="1" applyBorder="1" applyAlignment="1">
      <alignment horizontal="center"/>
    </xf>
    <xf numFmtId="0" fontId="9" fillId="7" borderId="14" xfId="16" applyFont="1" applyFill="1" applyBorder="1"/>
    <xf numFmtId="0" fontId="9" fillId="7" borderId="16" xfId="16" applyFont="1" applyFill="1" applyBorder="1" applyAlignment="1">
      <alignment horizontal="center" vertical="center"/>
    </xf>
    <xf numFmtId="0" fontId="9" fillId="0" borderId="0" xfId="0" applyFont="1" applyFill="1" applyAlignment="1"/>
    <xf numFmtId="0" fontId="9" fillId="0" borderId="0" xfId="0" applyFont="1" applyFill="1" applyBorder="1"/>
    <xf numFmtId="0" fontId="9" fillId="0" borderId="0" xfId="0" applyFont="1" applyFill="1"/>
    <xf numFmtId="0" fontId="15" fillId="0" borderId="0" xfId="0" applyFont="1" applyFill="1" applyAlignment="1">
      <alignment horizontal="right" vertical="center"/>
    </xf>
    <xf numFmtId="0" fontId="0" fillId="0" borderId="0" xfId="0" applyFill="1"/>
    <xf numFmtId="0" fontId="9" fillId="0" borderId="0" xfId="15" applyFont="1" applyFill="1" applyBorder="1" applyAlignment="1">
      <alignment horizontal="center"/>
    </xf>
    <xf numFmtId="9" fontId="9" fillId="0" borderId="0" xfId="8" applyFont="1" applyFill="1" applyBorder="1"/>
    <xf numFmtId="0" fontId="18" fillId="0" borderId="0" xfId="0" applyFont="1" applyFill="1"/>
    <xf numFmtId="0" fontId="9" fillId="3" borderId="0" xfId="0" applyFont="1" applyFill="1" applyAlignment="1">
      <alignment horizontal="right"/>
    </xf>
    <xf numFmtId="0" fontId="13" fillId="3" borderId="0" xfId="0" applyFont="1" applyFill="1" applyBorder="1" applyAlignment="1">
      <alignment horizontal="left"/>
    </xf>
    <xf numFmtId="164" fontId="9" fillId="3" borderId="0" xfId="0" applyNumberFormat="1" applyFont="1" applyFill="1"/>
    <xf numFmtId="9" fontId="9" fillId="0" borderId="0" xfId="10" applyNumberFormat="1" applyFont="1" applyFill="1"/>
    <xf numFmtId="164" fontId="9" fillId="3" borderId="0" xfId="10" applyNumberFormat="1" applyFont="1" applyFill="1" applyAlignment="1">
      <alignment horizontal="right"/>
    </xf>
    <xf numFmtId="167" fontId="9" fillId="3" borderId="0" xfId="7" applyNumberFormat="1" applyFont="1" applyFill="1" applyAlignment="1">
      <alignment horizontal="center"/>
    </xf>
    <xf numFmtId="2" fontId="9" fillId="3" borderId="0" xfId="0" applyNumberFormat="1" applyFont="1" applyFill="1" applyBorder="1"/>
    <xf numFmtId="164" fontId="9" fillId="3" borderId="0" xfId="7" applyNumberFormat="1" applyFont="1" applyFill="1" applyAlignment="1">
      <alignment horizontal="right"/>
    </xf>
    <xf numFmtId="164" fontId="9" fillId="3" borderId="0" xfId="0" applyNumberFormat="1" applyFont="1" applyFill="1" applyBorder="1"/>
    <xf numFmtId="0" fontId="9" fillId="3" borderId="0" xfId="10" applyFont="1" applyFill="1" applyAlignment="1">
      <alignment horizontal="right"/>
    </xf>
    <xf numFmtId="164" fontId="9" fillId="0" borderId="0" xfId="10" applyNumberFormat="1" applyFont="1" applyFill="1"/>
    <xf numFmtId="0" fontId="9" fillId="0" borderId="2" xfId="10" applyFont="1" applyBorder="1" applyAlignment="1">
      <alignment horizontal="center"/>
    </xf>
    <xf numFmtId="0" fontId="10" fillId="7" borderId="17" xfId="4" applyFont="1" applyFill="1" applyBorder="1" applyAlignment="1">
      <alignment horizontal="right"/>
    </xf>
    <xf numFmtId="0" fontId="10" fillId="7" borderId="30" xfId="4" applyFont="1" applyFill="1" applyBorder="1" applyAlignment="1">
      <alignment horizontal="right"/>
    </xf>
    <xf numFmtId="0" fontId="17" fillId="0" borderId="9" xfId="4" applyFont="1" applyFill="1" applyBorder="1"/>
    <xf numFmtId="0" fontId="17" fillId="0" borderId="3" xfId="4" applyFont="1" applyFill="1" applyBorder="1"/>
    <xf numFmtId="0" fontId="9" fillId="3" borderId="0" xfId="0" applyFont="1" applyFill="1" applyAlignment="1">
      <alignment horizontal="center"/>
    </xf>
    <xf numFmtId="164" fontId="9" fillId="3" borderId="0" xfId="0" applyNumberFormat="1" applyFont="1" applyFill="1" applyAlignment="1">
      <alignment horizontal="right"/>
    </xf>
    <xf numFmtId="0" fontId="9" fillId="0" borderId="0" xfId="0" applyFont="1" applyFill="1" applyAlignment="1">
      <alignment horizontal="right"/>
    </xf>
    <xf numFmtId="0" fontId="9" fillId="3" borderId="0" xfId="10" applyFont="1" applyFill="1"/>
    <xf numFmtId="0" fontId="9" fillId="0" borderId="2" xfId="0" applyFont="1" applyFill="1" applyBorder="1" applyAlignment="1">
      <alignment horizontal="center"/>
    </xf>
    <xf numFmtId="0" fontId="9" fillId="0" borderId="1" xfId="0" applyFont="1" applyFill="1" applyBorder="1" applyAlignment="1">
      <alignment horizontal="center"/>
    </xf>
    <xf numFmtId="0" fontId="9" fillId="0" borderId="0" xfId="4" applyFont="1" applyAlignment="1">
      <alignment horizontal="center"/>
    </xf>
    <xf numFmtId="0" fontId="9" fillId="0" borderId="0" xfId="0" applyFont="1" applyAlignment="1">
      <alignment horizontal="center"/>
    </xf>
    <xf numFmtId="0" fontId="9" fillId="0" borderId="0" xfId="5" applyFont="1" applyFill="1" applyAlignment="1">
      <alignment horizontal="center"/>
    </xf>
    <xf numFmtId="2" fontId="13" fillId="7" borderId="5" xfId="4" applyNumberFormat="1" applyFont="1" applyFill="1" applyBorder="1" applyAlignment="1">
      <alignment horizontal="center"/>
    </xf>
    <xf numFmtId="2" fontId="13" fillId="7" borderId="34" xfId="10" applyNumberFormat="1" applyFont="1" applyFill="1" applyBorder="1" applyAlignment="1">
      <alignment horizontal="center"/>
    </xf>
    <xf numFmtId="0" fontId="9" fillId="7" borderId="32" xfId="10" applyFont="1" applyFill="1" applyBorder="1" applyAlignment="1">
      <alignment horizontal="center"/>
    </xf>
    <xf numFmtId="0" fontId="17" fillId="0" borderId="3" xfId="16" applyFont="1" applyFill="1" applyBorder="1"/>
    <xf numFmtId="0" fontId="10" fillId="0" borderId="0" xfId="7" applyFont="1" applyFill="1" applyBorder="1" applyAlignment="1"/>
    <xf numFmtId="0" fontId="13" fillId="0" borderId="0" xfId="0" applyFont="1" applyFill="1" applyBorder="1" applyAlignment="1">
      <alignment horizontal="left"/>
    </xf>
    <xf numFmtId="0" fontId="9" fillId="0" borderId="0" xfId="0" applyFont="1" applyFill="1" applyBorder="1" applyAlignment="1"/>
    <xf numFmtId="164" fontId="9" fillId="0" borderId="0" xfId="0" applyNumberFormat="1" applyFont="1" applyFill="1" applyAlignment="1">
      <alignment horizontal="right"/>
    </xf>
    <xf numFmtId="1" fontId="9" fillId="0" borderId="0" xfId="0" applyNumberFormat="1" applyFont="1" applyFill="1" applyAlignment="1">
      <alignment horizontal="right"/>
    </xf>
    <xf numFmtId="164" fontId="9" fillId="0" borderId="0" xfId="0" applyNumberFormat="1" applyFont="1" applyFill="1" applyBorder="1"/>
    <xf numFmtId="164" fontId="9" fillId="0" borderId="0" xfId="10" applyNumberFormat="1" applyFont="1" applyFill="1" applyAlignment="1">
      <alignment horizontal="right"/>
    </xf>
    <xf numFmtId="167" fontId="9" fillId="0" borderId="0" xfId="15" applyNumberFormat="1" applyFont="1" applyFill="1" applyAlignment="1">
      <alignment horizontal="center"/>
    </xf>
    <xf numFmtId="164" fontId="9" fillId="0" borderId="0" xfId="15" applyNumberFormat="1" applyFont="1" applyFill="1" applyAlignment="1">
      <alignment horizontal="right"/>
    </xf>
    <xf numFmtId="0" fontId="9" fillId="0" borderId="0" xfId="10" applyFont="1" applyFill="1" applyAlignment="1">
      <alignment horizontal="right"/>
    </xf>
    <xf numFmtId="0" fontId="9" fillId="0" borderId="0" xfId="10" applyFont="1" applyFill="1"/>
    <xf numFmtId="0" fontId="13" fillId="0" borderId="0" xfId="15" applyFont="1" applyFill="1" applyBorder="1"/>
    <xf numFmtId="164" fontId="9" fillId="0" borderId="0" xfId="15" applyNumberFormat="1" applyFont="1" applyFill="1"/>
    <xf numFmtId="0" fontId="17" fillId="0" borderId="9" xfId="16" applyFont="1" applyFill="1" applyBorder="1"/>
    <xf numFmtId="164" fontId="9" fillId="0" borderId="1" xfId="11" applyNumberFormat="1" applyFont="1" applyFill="1" applyBorder="1" applyAlignment="1">
      <alignment horizontal="center"/>
    </xf>
    <xf numFmtId="0" fontId="9" fillId="0" borderId="0" xfId="0" applyFont="1" applyAlignment="1">
      <alignment horizontal="left"/>
    </xf>
    <xf numFmtId="0" fontId="9" fillId="0" borderId="0" xfId="4" applyFont="1" applyBorder="1" applyAlignment="1">
      <alignment horizontal="center"/>
    </xf>
    <xf numFmtId="2" fontId="14" fillId="7" borderId="16" xfId="4" applyNumberFormat="1" applyFont="1" applyFill="1" applyBorder="1" applyAlignment="1">
      <alignment horizontal="center"/>
    </xf>
    <xf numFmtId="0" fontId="9" fillId="0" borderId="0" xfId="4" applyFont="1" applyAlignment="1">
      <alignment horizontal="left"/>
    </xf>
    <xf numFmtId="0" fontId="9" fillId="0" borderId="0" xfId="4" applyFont="1" applyFill="1" applyBorder="1" applyAlignment="1">
      <alignment horizontal="left"/>
    </xf>
    <xf numFmtId="0" fontId="9" fillId="0" borderId="0" xfId="5" applyFont="1" applyFill="1" applyBorder="1" applyAlignment="1">
      <alignment horizontal="left"/>
    </xf>
    <xf numFmtId="0" fontId="9" fillId="0" borderId="0" xfId="4" applyFont="1" applyFill="1" applyAlignment="1">
      <alignment horizontal="left"/>
    </xf>
    <xf numFmtId="0" fontId="9" fillId="0" borderId="0" xfId="0" applyFont="1" applyFill="1" applyAlignment="1">
      <alignment horizontal="left"/>
    </xf>
    <xf numFmtId="0" fontId="9" fillId="7" borderId="33" xfId="10" applyFont="1" applyFill="1" applyBorder="1" applyAlignment="1">
      <alignment horizontal="right"/>
    </xf>
    <xf numFmtId="0" fontId="9" fillId="0" borderId="4" xfId="16" applyFont="1" applyBorder="1"/>
    <xf numFmtId="0" fontId="9" fillId="0" borderId="1" xfId="0" applyFont="1" applyBorder="1" applyAlignment="1">
      <alignment horizontal="center" vertical="center"/>
    </xf>
    <xf numFmtId="0" fontId="9" fillId="0" borderId="0" xfId="0" applyFont="1" applyFill="1" applyBorder="1" applyAlignment="1">
      <alignment vertical="top"/>
    </xf>
    <xf numFmtId="0" fontId="16" fillId="3" borderId="0" xfId="10" applyFont="1" applyFill="1" applyAlignment="1">
      <alignment horizontal="center"/>
    </xf>
    <xf numFmtId="0" fontId="12" fillId="3" borderId="0" xfId="10" applyFont="1" applyFill="1"/>
    <xf numFmtId="168" fontId="12" fillId="3" borderId="0" xfId="10" applyNumberFormat="1" applyFont="1" applyFill="1"/>
    <xf numFmtId="0" fontId="26" fillId="0" borderId="0" xfId="0" applyFont="1" applyBorder="1" applyAlignment="1">
      <alignment horizontal="left"/>
    </xf>
    <xf numFmtId="0" fontId="12" fillId="0" borderId="0" xfId="0" applyFont="1" applyBorder="1" applyAlignment="1">
      <alignment horizontal="center" textRotation="90"/>
    </xf>
    <xf numFmtId="0" fontId="12" fillId="0" borderId="0" xfId="0" applyFont="1" applyBorder="1" applyAlignment="1">
      <alignment horizontal="center"/>
    </xf>
    <xf numFmtId="2" fontId="12" fillId="0" borderId="0" xfId="0" applyNumberFormat="1" applyFont="1" applyFill="1" applyBorder="1"/>
    <xf numFmtId="2" fontId="12" fillId="0" borderId="0" xfId="0" applyNumberFormat="1" applyFont="1" applyFill="1" applyBorder="1" applyAlignment="1">
      <alignment horizontal="center"/>
    </xf>
    <xf numFmtId="9" fontId="12" fillId="0" borderId="0" xfId="3" applyFont="1" applyFill="1" applyBorder="1" applyAlignment="1"/>
    <xf numFmtId="9" fontId="12" fillId="0" borderId="0" xfId="3" applyFont="1" applyFill="1" applyBorder="1" applyAlignment="1">
      <alignment horizontal="center"/>
    </xf>
    <xf numFmtId="0" fontId="12" fillId="0" borderId="0" xfId="0" applyFont="1" applyBorder="1" applyAlignment="1"/>
    <xf numFmtId="169" fontId="12" fillId="0" borderId="0" xfId="11" applyNumberFormat="1" applyFont="1" applyFill="1" applyBorder="1" applyAlignment="1"/>
    <xf numFmtId="0" fontId="12" fillId="0" borderId="0" xfId="0" applyFont="1" applyAlignment="1">
      <alignment horizontal="right"/>
    </xf>
    <xf numFmtId="1" fontId="12" fillId="0" borderId="1" xfId="0" applyNumberFormat="1" applyFont="1" applyFill="1" applyBorder="1" applyAlignment="1">
      <alignment horizontal="right"/>
    </xf>
    <xf numFmtId="2" fontId="12" fillId="0" borderId="1" xfId="0" applyNumberFormat="1" applyFont="1" applyFill="1" applyBorder="1" applyAlignment="1">
      <alignment horizontal="center"/>
    </xf>
    <xf numFmtId="166" fontId="12" fillId="0" borderId="0" xfId="11" applyNumberFormat="1" applyFont="1" applyFill="1" applyBorder="1" applyAlignment="1"/>
    <xf numFmtId="0" fontId="12" fillId="0" borderId="0" xfId="10" applyFont="1"/>
    <xf numFmtId="0" fontId="12" fillId="0" borderId="0" xfId="0" applyFont="1" applyFill="1"/>
    <xf numFmtId="0" fontId="12" fillId="0" borderId="0" xfId="0" quotePrefix="1" applyFont="1" applyFill="1"/>
    <xf numFmtId="0" fontId="12" fillId="0" borderId="0" xfId="0" applyFont="1" applyFill="1" applyBorder="1" applyAlignment="1"/>
    <xf numFmtId="164" fontId="12" fillId="0" borderId="1" xfId="0" applyNumberFormat="1" applyFont="1" applyFill="1" applyBorder="1" applyAlignment="1">
      <alignment horizontal="center"/>
    </xf>
    <xf numFmtId="164" fontId="12" fillId="0" borderId="5" xfId="0" applyNumberFormat="1" applyFont="1" applyFill="1" applyBorder="1" applyAlignment="1">
      <alignment horizontal="center"/>
    </xf>
    <xf numFmtId="0" fontId="12" fillId="0" borderId="0" xfId="0" applyFont="1" applyFill="1" applyBorder="1" applyAlignment="1">
      <alignment horizontal="right"/>
    </xf>
    <xf numFmtId="164" fontId="12" fillId="2" borderId="1" xfId="0" applyNumberFormat="1" applyFont="1" applyFill="1" applyBorder="1" applyAlignment="1">
      <alignment horizontal="center"/>
    </xf>
    <xf numFmtId="0" fontId="12" fillId="0" borderId="0" xfId="0" applyFont="1" applyFill="1" applyAlignment="1">
      <alignment horizontal="right"/>
    </xf>
    <xf numFmtId="0" fontId="12" fillId="0" borderId="0" xfId="0" quotePrefix="1" applyFont="1" applyFill="1" applyBorder="1"/>
    <xf numFmtId="0" fontId="12" fillId="0" borderId="0" xfId="0" applyFont="1" applyFill="1" applyBorder="1"/>
    <xf numFmtId="164" fontId="12" fillId="0" borderId="0" xfId="0" applyNumberFormat="1" applyFont="1" applyFill="1" applyBorder="1" applyAlignment="1">
      <alignment horizontal="center"/>
    </xf>
    <xf numFmtId="0" fontId="18" fillId="0" borderId="0" xfId="15" applyFont="1"/>
    <xf numFmtId="2" fontId="9" fillId="0" borderId="0" xfId="0" applyNumberFormat="1" applyFont="1" applyFill="1"/>
    <xf numFmtId="2" fontId="9" fillId="3" borderId="0" xfId="0" applyNumberFormat="1" applyFont="1" applyFill="1"/>
    <xf numFmtId="2" fontId="9" fillId="0" borderId="0" xfId="0" applyNumberFormat="1" applyFont="1"/>
    <xf numFmtId="2" fontId="8" fillId="0" borderId="0" xfId="4" applyNumberFormat="1" applyFont="1" applyFill="1" applyBorder="1" applyAlignment="1">
      <alignment horizontal="center"/>
    </xf>
    <xf numFmtId="0" fontId="12" fillId="0" borderId="1" xfId="0" applyFont="1" applyFill="1" applyBorder="1" applyAlignment="1">
      <alignment horizontal="right"/>
    </xf>
    <xf numFmtId="0" fontId="9" fillId="0" borderId="4" xfId="4" applyFont="1" applyBorder="1"/>
    <xf numFmtId="2" fontId="12" fillId="9" borderId="1" xfId="0" applyNumberFormat="1" applyFont="1" applyFill="1" applyBorder="1" applyAlignment="1">
      <alignment horizontal="center"/>
    </xf>
    <xf numFmtId="0" fontId="12" fillId="0" borderId="0" xfId="0" applyFont="1" applyFill="1" applyAlignment="1">
      <alignment horizontal="center"/>
    </xf>
    <xf numFmtId="2" fontId="12" fillId="0" borderId="0" xfId="0" applyNumberFormat="1" applyFont="1" applyAlignment="1">
      <alignment horizontal="center"/>
    </xf>
    <xf numFmtId="2" fontId="12" fillId="0" borderId="0" xfId="0" quotePrefix="1" applyNumberFormat="1" applyFont="1" applyFill="1" applyAlignment="1">
      <alignment horizontal="center"/>
    </xf>
    <xf numFmtId="2" fontId="12" fillId="0" borderId="0" xfId="0" applyNumberFormat="1" applyFont="1" applyFill="1" applyAlignment="1">
      <alignment horizontal="center"/>
    </xf>
    <xf numFmtId="2" fontId="12" fillId="0" borderId="0" xfId="0" quotePrefix="1" applyNumberFormat="1" applyFont="1" applyFill="1" applyAlignment="1">
      <alignment horizontal="left"/>
    </xf>
    <xf numFmtId="0" fontId="9" fillId="0" borderId="0" xfId="0" applyFont="1" applyFill="1" applyBorder="1" applyAlignment="1">
      <alignment vertical="top" wrapText="1"/>
    </xf>
    <xf numFmtId="2" fontId="12" fillId="10" borderId="1" xfId="0" applyNumberFormat="1" applyFont="1" applyFill="1" applyBorder="1" applyAlignment="1">
      <alignment horizontal="center"/>
    </xf>
    <xf numFmtId="0" fontId="12" fillId="0" borderId="2" xfId="0" applyFont="1" applyFill="1" applyBorder="1" applyAlignment="1">
      <alignment horizontal="center"/>
    </xf>
    <xf numFmtId="0" fontId="17" fillId="0" borderId="4" xfId="4" applyFont="1" applyFill="1" applyBorder="1"/>
    <xf numFmtId="0" fontId="10" fillId="0" borderId="4" xfId="4" applyFont="1" applyFill="1" applyBorder="1" applyAlignment="1">
      <alignment horizontal="center"/>
    </xf>
    <xf numFmtId="0" fontId="10" fillId="7" borderId="19" xfId="7" applyFont="1" applyFill="1" applyBorder="1" applyAlignment="1"/>
    <xf numFmtId="0" fontId="10" fillId="7" borderId="20" xfId="7" applyFont="1" applyFill="1" applyBorder="1" applyAlignment="1"/>
    <xf numFmtId="0" fontId="9" fillId="0" borderId="0" xfId="4" applyFont="1" applyFill="1" applyBorder="1" applyAlignment="1">
      <alignment horizontal="right"/>
    </xf>
    <xf numFmtId="2" fontId="14" fillId="0" borderId="0" xfId="4" applyNumberFormat="1" applyFont="1" applyFill="1" applyBorder="1" applyAlignment="1">
      <alignment horizontal="right"/>
    </xf>
    <xf numFmtId="2" fontId="9" fillId="7" borderId="5" xfId="4" applyNumberFormat="1" applyFont="1" applyFill="1" applyBorder="1" applyAlignment="1">
      <alignment horizontal="center"/>
    </xf>
    <xf numFmtId="2" fontId="9" fillId="7" borderId="32" xfId="4" applyNumberFormat="1" applyFont="1" applyFill="1" applyBorder="1" applyAlignment="1">
      <alignment horizontal="center"/>
    </xf>
    <xf numFmtId="2" fontId="9" fillId="7" borderId="1" xfId="10" applyNumberFormat="1" applyFont="1" applyFill="1" applyBorder="1" applyAlignment="1">
      <alignment horizontal="center"/>
    </xf>
    <xf numFmtId="0" fontId="10" fillId="7" borderId="19" xfId="10" applyFont="1" applyFill="1" applyBorder="1" applyAlignment="1">
      <alignment horizontal="right"/>
    </xf>
    <xf numFmtId="2" fontId="9" fillId="7" borderId="2" xfId="10" applyNumberFormat="1" applyFont="1" applyFill="1" applyBorder="1" applyAlignment="1">
      <alignment horizontal="center"/>
    </xf>
    <xf numFmtId="0" fontId="9" fillId="7" borderId="23" xfId="4" applyFont="1" applyFill="1" applyBorder="1" applyAlignment="1">
      <alignment horizontal="right"/>
    </xf>
    <xf numFmtId="2" fontId="14" fillId="7" borderId="21" xfId="4" applyNumberFormat="1" applyFont="1" applyFill="1" applyBorder="1" applyAlignment="1">
      <alignment horizontal="right"/>
    </xf>
    <xf numFmtId="2" fontId="14" fillId="0" borderId="0" xfId="16" applyNumberFormat="1" applyFont="1" applyFill="1" applyBorder="1" applyAlignment="1">
      <alignment horizontal="right"/>
    </xf>
    <xf numFmtId="0" fontId="10" fillId="0" borderId="0" xfId="15" applyFont="1" applyFill="1" applyBorder="1" applyAlignment="1">
      <alignment horizontal="left"/>
    </xf>
    <xf numFmtId="0" fontId="9" fillId="0" borderId="0" xfId="16" applyFont="1" applyFill="1" applyBorder="1" applyAlignment="1">
      <alignment horizontal="center" vertical="center"/>
    </xf>
    <xf numFmtId="2" fontId="14" fillId="7" borderId="21" xfId="4" applyNumberFormat="1" applyFont="1" applyFill="1" applyBorder="1" applyAlignment="1">
      <alignment horizontal="center"/>
    </xf>
    <xf numFmtId="0" fontId="17" fillId="7" borderId="36" xfId="15" applyFont="1" applyFill="1" applyBorder="1" applyAlignment="1"/>
    <xf numFmtId="0" fontId="10" fillId="0" borderId="37" xfId="16" applyFont="1" applyFill="1" applyBorder="1"/>
    <xf numFmtId="0" fontId="9" fillId="0" borderId="38" xfId="16" applyFont="1" applyBorder="1"/>
    <xf numFmtId="0" fontId="9" fillId="0" borderId="39" xfId="16" applyFont="1" applyBorder="1"/>
    <xf numFmtId="0" fontId="9" fillId="0" borderId="40" xfId="16" applyFont="1" applyBorder="1"/>
    <xf numFmtId="0" fontId="9" fillId="0" borderId="12" xfId="0" applyFont="1" applyFill="1" applyBorder="1"/>
    <xf numFmtId="2" fontId="9" fillId="15" borderId="1" xfId="16" applyNumberFormat="1" applyFont="1" applyFill="1" applyBorder="1" applyAlignment="1">
      <alignment horizontal="center"/>
    </xf>
    <xf numFmtId="2" fontId="9" fillId="11" borderId="1" xfId="16" applyNumberFormat="1" applyFont="1" applyFill="1" applyBorder="1" applyAlignment="1">
      <alignment horizontal="center"/>
    </xf>
    <xf numFmtId="2" fontId="9" fillId="16" borderId="1" xfId="16" applyNumberFormat="1" applyFont="1" applyFill="1" applyBorder="1" applyAlignment="1">
      <alignment horizontal="center"/>
    </xf>
    <xf numFmtId="2" fontId="9" fillId="16" borderId="41" xfId="16" applyNumberFormat="1" applyFont="1" applyFill="1" applyBorder="1" applyAlignment="1">
      <alignment horizontal="center"/>
    </xf>
    <xf numFmtId="2" fontId="9" fillId="15" borderId="2" xfId="16" applyNumberFormat="1" applyFont="1" applyFill="1" applyBorder="1" applyAlignment="1">
      <alignment horizontal="center"/>
    </xf>
    <xf numFmtId="2" fontId="9" fillId="15" borderId="7" xfId="16" applyNumberFormat="1" applyFont="1" applyFill="1" applyBorder="1" applyAlignment="1">
      <alignment horizontal="center"/>
    </xf>
    <xf numFmtId="2" fontId="9" fillId="11" borderId="2" xfId="16" applyNumberFormat="1" applyFont="1" applyFill="1" applyBorder="1" applyAlignment="1">
      <alignment horizontal="center"/>
    </xf>
    <xf numFmtId="2" fontId="9" fillId="16" borderId="2" xfId="16" applyNumberFormat="1" applyFont="1" applyFill="1" applyBorder="1" applyAlignment="1">
      <alignment horizontal="center"/>
    </xf>
    <xf numFmtId="2" fontId="9" fillId="16" borderId="42" xfId="16" applyNumberFormat="1" applyFont="1" applyFill="1" applyBorder="1" applyAlignment="1">
      <alignment horizontal="center"/>
    </xf>
    <xf numFmtId="0" fontId="10" fillId="0" borderId="43" xfId="16" applyFont="1" applyFill="1" applyBorder="1"/>
    <xf numFmtId="0" fontId="9" fillId="0" borderId="3" xfId="16" applyFont="1" applyFill="1" applyBorder="1"/>
    <xf numFmtId="2" fontId="9" fillId="0" borderId="4" xfId="16" applyNumberFormat="1" applyFont="1" applyFill="1" applyBorder="1" applyAlignment="1">
      <alignment horizontal="center"/>
    </xf>
    <xf numFmtId="0" fontId="9" fillId="0" borderId="41" xfId="16" applyFont="1" applyFill="1" applyBorder="1"/>
    <xf numFmtId="2" fontId="9" fillId="15" borderId="6" xfId="16" applyNumberFormat="1" applyFont="1" applyFill="1" applyBorder="1" applyAlignment="1">
      <alignment horizontal="center"/>
    </xf>
    <xf numFmtId="2" fontId="9" fillId="11" borderId="6" xfId="16" applyNumberFormat="1" applyFont="1" applyFill="1" applyBorder="1" applyAlignment="1">
      <alignment horizontal="center"/>
    </xf>
    <xf numFmtId="2" fontId="9" fillId="16" borderId="6" xfId="16" applyNumberFormat="1" applyFont="1" applyFill="1" applyBorder="1" applyAlignment="1">
      <alignment horizontal="center"/>
    </xf>
    <xf numFmtId="2" fontId="9" fillId="16" borderId="44" xfId="16" applyNumberFormat="1" applyFont="1" applyFill="1" applyBorder="1" applyAlignment="1">
      <alignment horizontal="center"/>
    </xf>
    <xf numFmtId="0" fontId="10" fillId="0" borderId="12" xfId="0" applyFont="1" applyFill="1" applyBorder="1"/>
    <xf numFmtId="0" fontId="9" fillId="0" borderId="14" xfId="0" applyFont="1" applyFill="1" applyBorder="1"/>
    <xf numFmtId="2" fontId="9" fillId="11" borderId="15" xfId="16" applyNumberFormat="1" applyFont="1" applyFill="1" applyBorder="1" applyAlignment="1">
      <alignment horizontal="center"/>
    </xf>
    <xf numFmtId="2" fontId="9" fillId="16" borderId="15" xfId="16" applyNumberFormat="1" applyFont="1" applyFill="1" applyBorder="1" applyAlignment="1">
      <alignment horizontal="center"/>
    </xf>
    <xf numFmtId="2" fontId="9" fillId="16" borderId="45" xfId="16" applyNumberFormat="1" applyFont="1" applyFill="1" applyBorder="1" applyAlignment="1">
      <alignment horizontal="center"/>
    </xf>
    <xf numFmtId="2" fontId="9" fillId="15" borderId="15" xfId="16" applyNumberFormat="1" applyFont="1" applyFill="1" applyBorder="1" applyAlignment="1">
      <alignment horizontal="center"/>
    </xf>
    <xf numFmtId="0" fontId="13" fillId="0" borderId="0" xfId="0" applyFont="1" applyFill="1" applyBorder="1" applyAlignment="1">
      <alignment horizontal="center"/>
    </xf>
    <xf numFmtId="0" fontId="9" fillId="3" borderId="0" xfId="0" applyFont="1" applyFill="1" applyBorder="1" applyAlignment="1">
      <alignment wrapText="1"/>
    </xf>
    <xf numFmtId="0" fontId="9" fillId="0" borderId="0" xfId="0" applyFont="1" applyBorder="1" applyAlignment="1">
      <alignment wrapText="1"/>
    </xf>
    <xf numFmtId="0" fontId="18" fillId="0" borderId="0" xfId="0" applyFont="1" applyFill="1" applyBorder="1"/>
    <xf numFmtId="0" fontId="21" fillId="0" borderId="4" xfId="10" applyFont="1" applyBorder="1"/>
    <xf numFmtId="0" fontId="21" fillId="0" borderId="46" xfId="10" applyFont="1" applyBorder="1"/>
    <xf numFmtId="0" fontId="29" fillId="0" borderId="0" xfId="14" applyFont="1" applyFill="1" applyBorder="1" applyAlignment="1" applyProtection="1"/>
    <xf numFmtId="0" fontId="29" fillId="0" borderId="0" xfId="14" applyFont="1" applyFill="1" applyAlignment="1" applyProtection="1"/>
    <xf numFmtId="0" fontId="41" fillId="0" borderId="12" xfId="14" applyBorder="1" applyAlignment="1" applyProtection="1"/>
    <xf numFmtId="0" fontId="9" fillId="0" borderId="0" xfId="7" applyFont="1" applyFill="1" applyBorder="1" applyAlignment="1"/>
    <xf numFmtId="165" fontId="15" fillId="0" borderId="0" xfId="0" applyNumberFormat="1" applyFont="1" applyFill="1" applyBorder="1" applyAlignment="1" applyProtection="1">
      <protection locked="0"/>
    </xf>
    <xf numFmtId="170" fontId="12" fillId="3" borderId="0" xfId="10" applyNumberFormat="1" applyFont="1" applyFill="1"/>
    <xf numFmtId="0" fontId="9" fillId="7" borderId="23" xfId="4" applyFont="1" applyFill="1" applyBorder="1"/>
    <xf numFmtId="1" fontId="8" fillId="7" borderId="21" xfId="4" applyNumberFormat="1" applyFont="1" applyFill="1" applyBorder="1" applyAlignment="1">
      <alignment horizontal="center"/>
    </xf>
    <xf numFmtId="0" fontId="9" fillId="7" borderId="16" xfId="4" applyFont="1" applyFill="1" applyBorder="1" applyAlignment="1">
      <alignment horizontal="center"/>
    </xf>
    <xf numFmtId="0" fontId="10" fillId="7" borderId="25" xfId="7" applyFont="1" applyFill="1" applyBorder="1" applyAlignment="1"/>
    <xf numFmtId="0" fontId="10" fillId="7" borderId="26" xfId="7" applyFont="1" applyFill="1" applyBorder="1" applyAlignment="1"/>
    <xf numFmtId="164" fontId="9" fillId="3" borderId="3" xfId="9" applyNumberFormat="1" applyFont="1" applyFill="1" applyBorder="1" applyAlignment="1">
      <alignment horizontal="center"/>
    </xf>
    <xf numFmtId="164" fontId="9" fillId="3" borderId="1" xfId="9" applyNumberFormat="1" applyFont="1" applyFill="1" applyBorder="1" applyAlignment="1">
      <alignment horizontal="center"/>
    </xf>
    <xf numFmtId="164" fontId="9" fillId="0" borderId="3" xfId="11" applyNumberFormat="1" applyFont="1" applyFill="1" applyBorder="1" applyAlignment="1">
      <alignment horizontal="center"/>
    </xf>
    <xf numFmtId="164" fontId="9" fillId="0" borderId="7" xfId="11" applyNumberFormat="1" applyFont="1" applyFill="1" applyBorder="1" applyAlignment="1">
      <alignment horizontal="center"/>
    </xf>
    <xf numFmtId="9" fontId="9" fillId="0" borderId="5" xfId="3" applyFont="1" applyFill="1" applyBorder="1" applyAlignment="1">
      <alignment horizontal="center"/>
    </xf>
    <xf numFmtId="166" fontId="9" fillId="0" borderId="8" xfId="10" applyNumberFormat="1" applyFont="1" applyFill="1" applyBorder="1" applyAlignment="1">
      <alignment horizontal="center"/>
    </xf>
    <xf numFmtId="164" fontId="9" fillId="0" borderId="4" xfId="11" applyNumberFormat="1" applyFont="1" applyFill="1" applyBorder="1" applyAlignment="1">
      <alignment horizontal="center"/>
    </xf>
    <xf numFmtId="164" fontId="9" fillId="0" borderId="5" xfId="11" applyNumberFormat="1" applyFont="1" applyFill="1" applyBorder="1" applyAlignment="1">
      <alignment horizontal="center"/>
    </xf>
    <xf numFmtId="0" fontId="30" fillId="0" borderId="0" xfId="0" applyFont="1" applyAlignment="1">
      <alignment vertical="center" wrapText="1"/>
    </xf>
    <xf numFmtId="0" fontId="30" fillId="0" borderId="0" xfId="0" applyFont="1" applyAlignment="1">
      <alignment horizontal="right" vertical="center" wrapText="1"/>
    </xf>
    <xf numFmtId="0" fontId="34" fillId="0" borderId="0" xfId="0" applyFont="1"/>
    <xf numFmtId="0" fontId="3" fillId="0" borderId="0" xfId="0" applyFont="1"/>
    <xf numFmtId="0" fontId="7" fillId="0" borderId="0" xfId="0" applyFont="1"/>
    <xf numFmtId="0" fontId="7" fillId="0" borderId="0" xfId="0" applyFont="1" applyBorder="1"/>
    <xf numFmtId="0" fontId="32" fillId="0" borderId="0" xfId="0" applyFont="1"/>
    <xf numFmtId="0" fontId="33" fillId="0" borderId="0" xfId="0" applyFont="1"/>
    <xf numFmtId="0" fontId="33" fillId="0" borderId="0" xfId="0" applyFont="1" applyFill="1" applyBorder="1" applyAlignment="1">
      <alignment wrapText="1"/>
    </xf>
    <xf numFmtId="0" fontId="7" fillId="0" borderId="0" xfId="0" applyFont="1" applyFill="1" applyBorder="1" applyAlignment="1">
      <alignment vertical="top" wrapText="1"/>
    </xf>
    <xf numFmtId="0" fontId="0" fillId="0" borderId="0" xfId="0" applyBorder="1"/>
    <xf numFmtId="0" fontId="7" fillId="0" borderId="0" xfId="0" applyFont="1" applyFill="1" applyBorder="1" applyAlignment="1">
      <alignment horizontal="center" vertical="top" wrapText="1"/>
    </xf>
    <xf numFmtId="0" fontId="7" fillId="0" borderId="0" xfId="0" applyFont="1" applyFill="1" applyBorder="1" applyAlignment="1">
      <alignment textRotation="90" wrapText="1"/>
    </xf>
    <xf numFmtId="0" fontId="15" fillId="0" borderId="0" xfId="0" applyFont="1" applyFill="1" applyBorder="1" applyAlignment="1">
      <alignment vertical="center"/>
    </xf>
    <xf numFmtId="0" fontId="16" fillId="0" borderId="0" xfId="15" applyFont="1"/>
    <xf numFmtId="0" fontId="16" fillId="0" borderId="0" xfId="15" applyFont="1" applyAlignment="1">
      <alignment horizontal="right"/>
    </xf>
    <xf numFmtId="0" fontId="15" fillId="0" borderId="0" xfId="15" applyFont="1" applyAlignment="1">
      <alignment horizontal="right"/>
    </xf>
    <xf numFmtId="165" fontId="37" fillId="0" borderId="0" xfId="17" applyNumberFormat="1" applyFont="1" applyFill="1" applyBorder="1" applyAlignment="1" applyProtection="1">
      <protection locked="0"/>
    </xf>
    <xf numFmtId="165" fontId="15" fillId="0" borderId="0" xfId="16" applyNumberFormat="1" applyFont="1" applyFill="1" applyBorder="1" applyAlignment="1" applyProtection="1">
      <protection locked="0"/>
    </xf>
    <xf numFmtId="0" fontId="16" fillId="3" borderId="0" xfId="15" applyFont="1" applyFill="1"/>
    <xf numFmtId="0" fontId="22" fillId="0" borderId="0" xfId="17" applyFont="1" applyAlignment="1" applyProtection="1"/>
    <xf numFmtId="0" fontId="18" fillId="3" borderId="0" xfId="15" applyFont="1" applyFill="1"/>
    <xf numFmtId="0" fontId="38" fillId="3" borderId="0" xfId="15" applyFont="1" applyFill="1"/>
    <xf numFmtId="0" fontId="38" fillId="3" borderId="0" xfId="0" applyFont="1" applyFill="1" applyBorder="1"/>
    <xf numFmtId="0" fontId="39" fillId="3" borderId="0" xfId="0" applyFont="1" applyFill="1" applyBorder="1" applyAlignment="1">
      <alignment horizontal="center" vertical="center" wrapText="1"/>
    </xf>
    <xf numFmtId="0" fontId="21" fillId="3" borderId="0" xfId="0" applyFont="1" applyFill="1"/>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left" vertical="center" indent="4"/>
    </xf>
    <xf numFmtId="0" fontId="18" fillId="0" borderId="0" xfId="0" applyFont="1" applyAlignment="1">
      <alignment vertical="center"/>
    </xf>
    <xf numFmtId="0" fontId="38" fillId="0" borderId="0" xfId="0" applyFont="1" applyBorder="1" applyAlignment="1">
      <alignment vertical="center" wrapText="1"/>
    </xf>
    <xf numFmtId="0" fontId="18" fillId="0" borderId="0" xfId="0" applyFont="1" applyBorder="1" applyAlignment="1">
      <alignment wrapText="1"/>
    </xf>
    <xf numFmtId="0" fontId="40" fillId="0" borderId="0" xfId="0" applyFont="1" applyBorder="1" applyAlignment="1">
      <alignment wrapText="1"/>
    </xf>
    <xf numFmtId="0" fontId="38" fillId="3" borderId="20" xfId="0" applyFont="1" applyFill="1" applyBorder="1" applyAlignment="1">
      <alignment horizontal="center"/>
    </xf>
    <xf numFmtId="0" fontId="38" fillId="3" borderId="36" xfId="0" applyFont="1" applyFill="1" applyBorder="1" applyAlignment="1">
      <alignment horizontal="center"/>
    </xf>
    <xf numFmtId="0" fontId="18" fillId="0" borderId="41" xfId="0" applyFont="1" applyFill="1" applyBorder="1" applyAlignment="1">
      <alignment horizontal="left"/>
    </xf>
    <xf numFmtId="0" fontId="18" fillId="0" borderId="52" xfId="0" applyFont="1" applyFill="1" applyBorder="1" applyAlignment="1">
      <alignment horizontal="center" wrapText="1"/>
    </xf>
    <xf numFmtId="0" fontId="18" fillId="0" borderId="52" xfId="0" applyFont="1" applyFill="1" applyBorder="1" applyAlignment="1">
      <alignment horizontal="center"/>
    </xf>
    <xf numFmtId="0" fontId="18" fillId="0" borderId="41" xfId="0" applyFont="1" applyBorder="1" applyAlignment="1">
      <alignment horizontal="left"/>
    </xf>
    <xf numFmtId="0" fontId="18" fillId="0" borderId="45" xfId="0" applyFont="1" applyBorder="1" applyAlignment="1">
      <alignment horizontal="left" wrapText="1"/>
    </xf>
    <xf numFmtId="0" fontId="18" fillId="0" borderId="55" xfId="0" applyFont="1" applyFill="1" applyBorder="1" applyAlignment="1">
      <alignment horizontal="center"/>
    </xf>
    <xf numFmtId="0" fontId="18" fillId="0" borderId="0" xfId="0" applyFont="1" applyBorder="1"/>
    <xf numFmtId="0" fontId="38" fillId="3" borderId="19" xfId="0" applyFont="1" applyFill="1" applyBorder="1" applyAlignment="1">
      <alignment horizontal="center"/>
    </xf>
    <xf numFmtId="0" fontId="38" fillId="3" borderId="36" xfId="0" applyFont="1" applyFill="1" applyBorder="1" applyAlignment="1">
      <alignment horizontal="center" wrapText="1"/>
    </xf>
    <xf numFmtId="0" fontId="38" fillId="3" borderId="20" xfId="0" applyFont="1" applyFill="1" applyBorder="1" applyAlignment="1">
      <alignment horizontal="center" wrapText="1"/>
    </xf>
    <xf numFmtId="0" fontId="38" fillId="3" borderId="49" xfId="0" applyFont="1" applyFill="1" applyBorder="1" applyAlignment="1">
      <alignment horizontal="center"/>
    </xf>
    <xf numFmtId="0" fontId="18" fillId="3" borderId="51" xfId="0" applyFont="1" applyFill="1" applyBorder="1" applyAlignment="1">
      <alignment horizontal="center"/>
    </xf>
    <xf numFmtId="0" fontId="18" fillId="3" borderId="52" xfId="0" applyFont="1" applyFill="1" applyBorder="1" applyAlignment="1">
      <alignment horizontal="center"/>
    </xf>
    <xf numFmtId="0" fontId="18" fillId="3" borderId="53" xfId="0" applyFont="1" applyFill="1" applyBorder="1" applyAlignment="1">
      <alignment horizontal="center"/>
    </xf>
    <xf numFmtId="0" fontId="18" fillId="3" borderId="55" xfId="0" applyFont="1" applyFill="1" applyBorder="1" applyAlignment="1">
      <alignment horizontal="center"/>
    </xf>
    <xf numFmtId="49" fontId="18" fillId="3" borderId="51" xfId="0" applyNumberFormat="1" applyFont="1" applyFill="1" applyBorder="1" applyAlignment="1">
      <alignment horizontal="center" wrapText="1"/>
    </xf>
    <xf numFmtId="49" fontId="18" fillId="0" borderId="52" xfId="0" applyNumberFormat="1" applyFont="1" applyBorder="1" applyAlignment="1">
      <alignment horizontal="center"/>
    </xf>
    <xf numFmtId="0" fontId="18" fillId="3" borderId="56" xfId="0" applyFont="1" applyFill="1" applyBorder="1" applyAlignment="1">
      <alignment horizontal="center"/>
    </xf>
    <xf numFmtId="0" fontId="38" fillId="0" borderId="35" xfId="0" applyFont="1" applyBorder="1" applyAlignment="1">
      <alignment horizontal="center" vertical="center" wrapText="1"/>
    </xf>
    <xf numFmtId="0" fontId="18" fillId="0" borderId="36" xfId="0" applyFont="1" applyBorder="1" applyAlignment="1">
      <alignment horizontal="center" vertical="center"/>
    </xf>
    <xf numFmtId="0" fontId="18" fillId="0" borderId="52" xfId="0" applyFont="1" applyBorder="1" applyAlignment="1">
      <alignment horizontal="center"/>
    </xf>
    <xf numFmtId="0" fontId="15" fillId="0" borderId="0" xfId="18" applyFont="1" applyFill="1" applyBorder="1" applyAlignment="1">
      <alignment vertical="center"/>
    </xf>
    <xf numFmtId="0" fontId="7" fillId="0" borderId="0" xfId="0" applyFont="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15" fontId="38" fillId="3" borderId="0" xfId="15" applyNumberFormat="1" applyFont="1" applyFill="1" applyAlignment="1">
      <alignment horizontal="left"/>
    </xf>
    <xf numFmtId="0" fontId="38" fillId="3" borderId="0" xfId="15" applyFont="1" applyFill="1" applyAlignment="1">
      <alignment horizontal="right"/>
    </xf>
    <xf numFmtId="2" fontId="9" fillId="3" borderId="2" xfId="0" applyNumberFormat="1" applyFont="1" applyFill="1" applyBorder="1" applyAlignment="1">
      <alignment horizontal="center"/>
    </xf>
    <xf numFmtId="2" fontId="9" fillId="3" borderId="1" xfId="0" applyNumberFormat="1" applyFont="1" applyFill="1" applyBorder="1" applyAlignment="1">
      <alignment horizontal="center"/>
    </xf>
    <xf numFmtId="2" fontId="9" fillId="3" borderId="3" xfId="0" applyNumberFormat="1" applyFont="1" applyFill="1" applyBorder="1" applyAlignment="1">
      <alignment horizontal="center"/>
    </xf>
    <xf numFmtId="2" fontId="9" fillId="3" borderId="4" xfId="0" applyNumberFormat="1" applyFont="1" applyFill="1" applyBorder="1" applyAlignment="1">
      <alignment horizontal="center"/>
    </xf>
    <xf numFmtId="2" fontId="9" fillId="3" borderId="5" xfId="0" applyNumberFormat="1" applyFont="1" applyFill="1" applyBorder="1" applyAlignment="1">
      <alignment horizontal="center"/>
    </xf>
    <xf numFmtId="2" fontId="9" fillId="0" borderId="6" xfId="0" applyNumberFormat="1" applyFont="1" applyFill="1" applyBorder="1" applyAlignment="1">
      <alignment horizontal="center"/>
    </xf>
    <xf numFmtId="2" fontId="9" fillId="8" borderId="6" xfId="0" applyNumberFormat="1" applyFont="1" applyFill="1" applyBorder="1" applyAlignment="1">
      <alignment horizontal="center"/>
    </xf>
    <xf numFmtId="2" fontId="9" fillId="8" borderId="1" xfId="0" applyNumberFormat="1" applyFont="1" applyFill="1" applyBorder="1" applyAlignment="1">
      <alignment horizontal="center"/>
    </xf>
    <xf numFmtId="2" fontId="9" fillId="0" borderId="1" xfId="0" applyNumberFormat="1" applyFont="1" applyFill="1" applyBorder="1" applyAlignment="1">
      <alignment horizontal="center"/>
    </xf>
    <xf numFmtId="2" fontId="17" fillId="0" borderId="3" xfId="4" applyNumberFormat="1" applyFont="1" applyFill="1" applyBorder="1"/>
    <xf numFmtId="2" fontId="17" fillId="0" borderId="4" xfId="4" applyNumberFormat="1" applyFont="1" applyFill="1" applyBorder="1"/>
    <xf numFmtId="2" fontId="10" fillId="0" borderId="4" xfId="4" applyNumberFormat="1" applyFont="1" applyFill="1" applyBorder="1" applyAlignment="1">
      <alignment horizontal="center"/>
    </xf>
    <xf numFmtId="2" fontId="9" fillId="0" borderId="4" xfId="4" applyNumberFormat="1" applyFont="1" applyBorder="1"/>
    <xf numFmtId="2" fontId="9" fillId="0" borderId="5" xfId="11" applyNumberFormat="1" applyFont="1" applyFill="1" applyBorder="1" applyAlignment="1">
      <alignment horizontal="center"/>
    </xf>
    <xf numFmtId="2" fontId="9" fillId="3" borderId="6" xfId="0" applyNumberFormat="1" applyFont="1" applyFill="1" applyBorder="1" applyAlignment="1">
      <alignment horizontal="center"/>
    </xf>
    <xf numFmtId="2" fontId="9" fillId="8" borderId="8" xfId="0" applyNumberFormat="1" applyFont="1" applyFill="1" applyBorder="1" applyAlignment="1">
      <alignment horizontal="center"/>
    </xf>
    <xf numFmtId="2" fontId="9" fillId="0" borderId="3" xfId="0" applyNumberFormat="1" applyFont="1" applyFill="1" applyBorder="1" applyAlignment="1">
      <alignment horizontal="center"/>
    </xf>
    <xf numFmtId="2" fontId="9" fillId="8" borderId="3" xfId="0" applyNumberFormat="1" applyFont="1" applyFill="1" applyBorder="1" applyAlignment="1">
      <alignment horizontal="center"/>
    </xf>
    <xf numFmtId="2" fontId="9" fillId="0" borderId="2" xfId="0" applyNumberFormat="1" applyFont="1" applyFill="1" applyBorder="1" applyAlignment="1">
      <alignment horizontal="center"/>
    </xf>
    <xf numFmtId="2" fontId="9" fillId="0" borderId="35" xfId="0" applyNumberFormat="1" applyFont="1" applyFill="1" applyBorder="1" applyAlignment="1">
      <alignment horizontal="center"/>
    </xf>
    <xf numFmtId="2" fontId="9" fillId="0" borderId="2" xfId="0" applyNumberFormat="1" applyFont="1" applyBorder="1" applyAlignment="1">
      <alignment horizontal="center"/>
    </xf>
    <xf numFmtId="2" fontId="9" fillId="0" borderId="0" xfId="0" applyNumberFormat="1" applyFont="1" applyFill="1" applyBorder="1"/>
    <xf numFmtId="0" fontId="18" fillId="3" borderId="51" xfId="0" applyFont="1" applyFill="1" applyBorder="1" applyAlignment="1">
      <alignment horizontal="center" wrapText="1"/>
    </xf>
    <xf numFmtId="0" fontId="18" fillId="3" borderId="52" xfId="0" applyFont="1" applyFill="1" applyBorder="1" applyAlignment="1">
      <alignment horizontal="center" wrapText="1"/>
    </xf>
    <xf numFmtId="0" fontId="18" fillId="3" borderId="55" xfId="0" applyFont="1" applyFill="1" applyBorder="1" applyAlignment="1">
      <alignment horizontal="center" wrapText="1"/>
    </xf>
    <xf numFmtId="0" fontId="21" fillId="0" borderId="1" xfId="15" applyFont="1" applyBorder="1"/>
    <xf numFmtId="0" fontId="41" fillId="0" borderId="0" xfId="14" applyFill="1" applyBorder="1" applyAlignment="1" applyProtection="1"/>
    <xf numFmtId="0" fontId="21" fillId="0" borderId="1" xfId="0" applyFont="1" applyBorder="1" applyAlignment="1">
      <alignment horizontal="left" vertical="center"/>
    </xf>
    <xf numFmtId="0" fontId="19" fillId="0" borderId="0" xfId="19" applyFont="1" applyFill="1" applyAlignment="1" applyProtection="1"/>
    <xf numFmtId="0" fontId="43" fillId="0" borderId="0" xfId="15" applyFont="1"/>
    <xf numFmtId="0" fontId="12" fillId="0" borderId="0" xfId="15" applyFont="1" applyAlignment="1">
      <alignment horizontal="right"/>
    </xf>
    <xf numFmtId="1" fontId="9" fillId="0" borderId="0" xfId="15" applyNumberFormat="1" applyFont="1" applyFill="1" applyAlignment="1">
      <alignment horizontal="left"/>
    </xf>
    <xf numFmtId="0" fontId="40" fillId="0" borderId="0" xfId="15" applyFont="1" applyAlignment="1">
      <alignment horizontal="center"/>
    </xf>
    <xf numFmtId="0" fontId="40" fillId="0" borderId="0" xfId="15" applyNumberFormat="1" applyFont="1" applyAlignment="1">
      <alignment horizontal="center"/>
    </xf>
    <xf numFmtId="0" fontId="9" fillId="0" borderId="0" xfId="15" applyFont="1" applyAlignment="1">
      <alignment horizontal="right"/>
    </xf>
    <xf numFmtId="1" fontId="9" fillId="0" borderId="0" xfId="15" applyNumberFormat="1" applyFont="1" applyFill="1" applyAlignment="1">
      <alignment horizontal="center"/>
    </xf>
    <xf numFmtId="1" fontId="12" fillId="0" borderId="0" xfId="15" applyNumberFormat="1" applyFont="1" applyFill="1" applyAlignment="1">
      <alignment horizontal="left"/>
    </xf>
    <xf numFmtId="0" fontId="12" fillId="0" borderId="0" xfId="15" applyFont="1"/>
    <xf numFmtId="0" fontId="9" fillId="3" borderId="1" xfId="10" applyFont="1" applyFill="1" applyBorder="1" applyAlignment="1">
      <alignment horizontal="center"/>
    </xf>
    <xf numFmtId="0" fontId="40" fillId="0" borderId="0" xfId="15" applyFont="1"/>
    <xf numFmtId="0" fontId="17" fillId="0" borderId="3" xfId="10" applyFont="1" applyFill="1" applyBorder="1"/>
    <xf numFmtId="0" fontId="38" fillId="0" borderId="3" xfId="10" applyFont="1" applyFill="1" applyBorder="1"/>
    <xf numFmtId="0" fontId="9" fillId="0" borderId="1" xfId="15" applyFont="1" applyBorder="1" applyAlignment="1">
      <alignment horizontal="center"/>
    </xf>
    <xf numFmtId="0" fontId="40" fillId="0" borderId="0" xfId="15" applyFont="1" applyFill="1" applyAlignment="1">
      <alignment horizontal="center"/>
    </xf>
    <xf numFmtId="0" fontId="40" fillId="0" borderId="0" xfId="15" applyNumberFormat="1" applyFont="1" applyFill="1" applyAlignment="1">
      <alignment horizontal="center"/>
    </xf>
    <xf numFmtId="0" fontId="45" fillId="0" borderId="0" xfId="15" applyFont="1" applyFill="1" applyAlignment="1">
      <alignment horizontal="center"/>
    </xf>
    <xf numFmtId="0" fontId="45" fillId="0" borderId="0" xfId="15" applyNumberFormat="1" applyFont="1" applyFill="1" applyAlignment="1">
      <alignment horizontal="center"/>
    </xf>
    <xf numFmtId="0" fontId="12" fillId="0" borderId="0" xfId="15" applyFont="1" applyFill="1"/>
    <xf numFmtId="9" fontId="9" fillId="0" borderId="1" xfId="10" applyNumberFormat="1" applyFont="1" applyBorder="1"/>
    <xf numFmtId="0" fontId="12" fillId="0" borderId="47" xfId="15" applyFont="1" applyFill="1" applyBorder="1"/>
    <xf numFmtId="2" fontId="9" fillId="3" borderId="0" xfId="0" applyNumberFormat="1" applyFont="1" applyFill="1" applyBorder="1" applyAlignment="1">
      <alignment horizontal="center"/>
    </xf>
    <xf numFmtId="0" fontId="41" fillId="0" borderId="4" xfId="14" applyFill="1" applyBorder="1" applyAlignment="1" applyProtection="1"/>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40" fillId="0" borderId="0" xfId="15" applyFont="1" applyBorder="1"/>
    <xf numFmtId="0" fontId="40" fillId="0" borderId="0" xfId="15" applyNumberFormat="1" applyFont="1"/>
    <xf numFmtId="0" fontId="40" fillId="0" borderId="0" xfId="15" applyFont="1" applyBorder="1" applyAlignment="1">
      <alignment horizontal="center"/>
    </xf>
    <xf numFmtId="9" fontId="9" fillId="0" borderId="0" xfId="3" applyFont="1" applyFill="1" applyBorder="1" applyAlignment="1">
      <alignment horizontal="center"/>
    </xf>
    <xf numFmtId="0" fontId="8" fillId="0" borderId="0" xfId="16" applyFont="1" applyFill="1" applyBorder="1" applyAlignment="1">
      <alignment horizontal="left"/>
    </xf>
    <xf numFmtId="0" fontId="9" fillId="0" borderId="1" xfId="0" applyFont="1" applyBorder="1"/>
    <xf numFmtId="0" fontId="18" fillId="0" borderId="1" xfId="16" applyFont="1" applyBorder="1"/>
    <xf numFmtId="164" fontId="9" fillId="3" borderId="1" xfId="0" applyNumberFormat="1" applyFont="1" applyFill="1" applyBorder="1" applyAlignment="1">
      <alignment horizontal="center"/>
    </xf>
    <xf numFmtId="0" fontId="41" fillId="0" borderId="38" xfId="14" applyFill="1" applyBorder="1" applyAlignment="1" applyProtection="1"/>
    <xf numFmtId="0" fontId="41" fillId="0" borderId="3" xfId="14" applyFill="1" applyBorder="1" applyAlignment="1" applyProtection="1"/>
    <xf numFmtId="0" fontId="20" fillId="0" borderId="29" xfId="10" applyFont="1" applyBorder="1" applyAlignment="1">
      <alignment horizontal="center"/>
    </xf>
    <xf numFmtId="49" fontId="16" fillId="3" borderId="0" xfId="10" applyNumberFormat="1" applyFont="1" applyFill="1" applyAlignment="1">
      <alignment horizontal="center"/>
    </xf>
    <xf numFmtId="165" fontId="16" fillId="0" borderId="0" xfId="0" applyNumberFormat="1" applyFont="1" applyFill="1" applyBorder="1" applyAlignment="1" applyProtection="1">
      <protection locked="0"/>
    </xf>
    <xf numFmtId="2" fontId="9" fillId="11" borderId="6" xfId="0" applyNumberFormat="1" applyFont="1" applyFill="1" applyBorder="1" applyAlignment="1">
      <alignment horizontal="center"/>
    </xf>
    <xf numFmtId="0" fontId="40" fillId="0" borderId="0" xfId="15" applyFont="1" applyAlignment="1">
      <alignment horizontal="left"/>
    </xf>
    <xf numFmtId="49" fontId="0" fillId="0" borderId="6" xfId="0" applyNumberFormat="1" applyBorder="1"/>
    <xf numFmtId="0" fontId="46" fillId="7" borderId="1" xfId="22" applyFont="1" applyFill="1" applyBorder="1"/>
    <xf numFmtId="0" fontId="2" fillId="0" borderId="0" xfId="22"/>
    <xf numFmtId="0" fontId="9" fillId="0" borderId="1" xfId="22" applyFont="1" applyBorder="1" applyAlignment="1">
      <alignment horizontal="left" vertical="center"/>
    </xf>
    <xf numFmtId="9" fontId="2" fillId="0" borderId="1" xfId="23" applyNumberFormat="1" applyBorder="1"/>
    <xf numFmtId="9" fontId="2" fillId="0" borderId="1" xfId="22" applyNumberFormat="1" applyBorder="1"/>
    <xf numFmtId="0" fontId="9" fillId="0" borderId="1" xfId="22" applyFont="1" applyBorder="1"/>
    <xf numFmtId="0" fontId="2" fillId="0" borderId="1" xfId="22" applyBorder="1"/>
    <xf numFmtId="0" fontId="9" fillId="0" borderId="3" xfId="10" applyFont="1" applyFill="1" applyBorder="1"/>
    <xf numFmtId="0" fontId="9" fillId="0" borderId="3" xfId="10" applyFont="1" applyFill="1" applyBorder="1" applyAlignment="1">
      <alignment horizontal="right"/>
    </xf>
    <xf numFmtId="0" fontId="47" fillId="0" borderId="0" xfId="15" applyFont="1"/>
    <xf numFmtId="9" fontId="9" fillId="0" borderId="1" xfId="3" applyFont="1" applyBorder="1"/>
    <xf numFmtId="2" fontId="9" fillId="0" borderId="1" xfId="0" applyNumberFormat="1" applyFont="1" applyBorder="1" applyAlignment="1">
      <alignment horizontal="center"/>
    </xf>
    <xf numFmtId="0" fontId="21" fillId="0" borderId="1" xfId="0" applyFont="1" applyBorder="1" applyAlignment="1">
      <alignment vertical="center"/>
    </xf>
    <xf numFmtId="0" fontId="21" fillId="0" borderId="1" xfId="10" applyFont="1" applyBorder="1"/>
    <xf numFmtId="165" fontId="21" fillId="0" borderId="1" xfId="10" applyNumberFormat="1" applyFont="1" applyBorder="1"/>
    <xf numFmtId="2" fontId="9" fillId="3" borderId="0" xfId="0" applyNumberFormat="1" applyFont="1" applyFill="1" applyAlignment="1">
      <alignment horizontal="right"/>
    </xf>
    <xf numFmtId="0" fontId="46" fillId="7" borderId="1" xfId="24" applyFont="1" applyFill="1" applyBorder="1"/>
    <xf numFmtId="0" fontId="1" fillId="0" borderId="0" xfId="24"/>
    <xf numFmtId="0" fontId="9" fillId="0" borderId="1" xfId="24" applyFont="1" applyBorder="1" applyAlignment="1">
      <alignment horizontal="left" vertical="center"/>
    </xf>
    <xf numFmtId="9" fontId="1" fillId="0" borderId="1" xfId="24" applyNumberFormat="1" applyBorder="1"/>
    <xf numFmtId="0" fontId="9" fillId="0" borderId="1" xfId="24" applyFont="1" applyBorder="1"/>
    <xf numFmtId="0" fontId="1" fillId="0" borderId="1" xfId="24" applyBorder="1"/>
    <xf numFmtId="167" fontId="1" fillId="0" borderId="1" xfId="25" applyNumberFormat="1" applyBorder="1"/>
    <xf numFmtId="0" fontId="31" fillId="0" borderId="0" xfId="18" applyFont="1"/>
    <xf numFmtId="0" fontId="7" fillId="0" borderId="0" xfId="18" applyFont="1"/>
    <xf numFmtId="0" fontId="47" fillId="0" borderId="1" xfId="15" applyFont="1" applyBorder="1"/>
    <xf numFmtId="0" fontId="48" fillId="0" borderId="2" xfId="18" applyFont="1" applyBorder="1" applyAlignment="1">
      <alignment horizontal="center" vertical="center" textRotation="180"/>
    </xf>
    <xf numFmtId="0" fontId="48" fillId="7" borderId="2" xfId="18" applyFont="1" applyFill="1" applyBorder="1" applyAlignment="1">
      <alignment horizontal="center" vertical="center" textRotation="180"/>
    </xf>
    <xf numFmtId="0" fontId="31" fillId="0" borderId="24" xfId="18" applyFont="1" applyBorder="1" applyAlignment="1">
      <alignment horizontal="center" vertical="center"/>
    </xf>
    <xf numFmtId="0" fontId="31" fillId="0" borderId="1" xfId="18" applyFont="1" applyBorder="1" applyAlignment="1">
      <alignment horizontal="center" vertical="center"/>
    </xf>
    <xf numFmtId="0" fontId="31" fillId="0" borderId="23" xfId="26" applyFont="1" applyBorder="1"/>
    <xf numFmtId="0" fontId="31" fillId="0" borderId="24" xfId="26" applyFont="1" applyBorder="1"/>
    <xf numFmtId="0" fontId="31" fillId="0" borderId="12" xfId="26" applyFont="1" applyBorder="1"/>
    <xf numFmtId="0" fontId="31" fillId="0" borderId="1" xfId="26" applyFont="1" applyBorder="1"/>
    <xf numFmtId="15" fontId="30" fillId="0" borderId="0" xfId="21" applyNumberFormat="1" applyFont="1" applyAlignment="1">
      <alignment horizontal="left" vertical="center" wrapText="1"/>
    </xf>
    <xf numFmtId="0" fontId="22" fillId="0" borderId="0" xfId="17" applyFont="1" applyAlignment="1" applyProtection="1">
      <alignment horizontal="center"/>
    </xf>
    <xf numFmtId="0" fontId="31" fillId="0" borderId="21" xfId="18" applyFont="1" applyBorder="1" applyAlignment="1">
      <alignment horizontal="center" vertical="center"/>
    </xf>
    <xf numFmtId="0" fontId="31" fillId="0" borderId="13" xfId="18" applyFont="1" applyBorder="1" applyAlignment="1">
      <alignment horizontal="center" vertical="center"/>
    </xf>
    <xf numFmtId="0" fontId="31" fillId="0" borderId="14" xfId="26" applyFont="1" applyBorder="1"/>
    <xf numFmtId="0" fontId="31" fillId="0" borderId="15" xfId="26" applyFont="1" applyBorder="1"/>
    <xf numFmtId="0" fontId="31" fillId="0" borderId="15" xfId="18" applyFont="1" applyBorder="1" applyAlignment="1">
      <alignment horizontal="center" vertical="center"/>
    </xf>
    <xf numFmtId="0" fontId="31" fillId="0" borderId="16" xfId="18" applyFont="1" applyBorder="1" applyAlignment="1">
      <alignment horizontal="center" vertical="center"/>
    </xf>
    <xf numFmtId="0" fontId="15" fillId="0" borderId="0" xfId="0" applyFont="1"/>
    <xf numFmtId="165" fontId="15" fillId="0" borderId="0" xfId="0" applyNumberFormat="1" applyFont="1" applyProtection="1">
      <protection locked="0"/>
    </xf>
    <xf numFmtId="0" fontId="9" fillId="0" borderId="0" xfId="0" applyFont="1" applyAlignment="1">
      <alignment vertical="top"/>
    </xf>
    <xf numFmtId="0" fontId="9" fillId="0" borderId="0" xfId="0" applyFont="1" applyAlignment="1">
      <alignment horizontal="right"/>
    </xf>
    <xf numFmtId="0" fontId="9" fillId="0" borderId="0" xfId="0" applyFont="1" applyAlignment="1">
      <alignment vertical="top" wrapText="1"/>
    </xf>
    <xf numFmtId="9" fontId="9" fillId="0" borderId="0" xfId="10" applyNumberFormat="1" applyFont="1"/>
    <xf numFmtId="164" fontId="9" fillId="0" borderId="0" xfId="10" applyNumberFormat="1" applyFont="1" applyAlignment="1">
      <alignment horizontal="right"/>
    </xf>
    <xf numFmtId="167" fontId="9" fillId="3" borderId="0" xfId="15" applyNumberFormat="1" applyFont="1" applyFill="1" applyAlignment="1">
      <alignment horizontal="center"/>
    </xf>
    <xf numFmtId="164" fontId="9" fillId="0" borderId="0" xfId="15" applyNumberFormat="1" applyFont="1" applyAlignment="1">
      <alignment horizontal="right"/>
    </xf>
    <xf numFmtId="164" fontId="9" fillId="0" borderId="0" xfId="10" applyNumberFormat="1" applyFont="1"/>
    <xf numFmtId="0" fontId="9" fillId="0" borderId="1" xfId="0" applyFont="1" applyBorder="1" applyAlignment="1">
      <alignment horizontal="right"/>
    </xf>
    <xf numFmtId="0" fontId="9" fillId="0" borderId="1" xfId="0" applyFont="1" applyBorder="1" applyAlignment="1">
      <alignment horizontal="center" textRotation="90"/>
    </xf>
    <xf numFmtId="0" fontId="26" fillId="0" borderId="0" xfId="0" applyFont="1" applyAlignment="1">
      <alignment horizontal="left"/>
    </xf>
    <xf numFmtId="0" fontId="12" fillId="0" borderId="0" xfId="0" applyFont="1" applyAlignment="1">
      <alignment horizontal="center" textRotation="90"/>
    </xf>
    <xf numFmtId="0" fontId="9" fillId="0" borderId="2" xfId="0" applyFont="1" applyBorder="1" applyAlignment="1">
      <alignment horizontal="center"/>
    </xf>
    <xf numFmtId="0" fontId="9" fillId="3" borderId="0" xfId="0" applyFont="1" applyFill="1" applyAlignment="1">
      <alignment vertical="top" wrapText="1"/>
    </xf>
    <xf numFmtId="0" fontId="9" fillId="0" borderId="1" xfId="0" applyFont="1" applyBorder="1" applyAlignment="1">
      <alignment horizontal="center"/>
    </xf>
    <xf numFmtId="0" fontId="9" fillId="0" borderId="0" xfId="0" applyFont="1" applyAlignment="1">
      <alignment wrapText="1"/>
    </xf>
    <xf numFmtId="0" fontId="12" fillId="0" borderId="2" xfId="0" applyFont="1" applyBorder="1" applyAlignment="1">
      <alignment horizontal="center"/>
    </xf>
    <xf numFmtId="2" fontId="12" fillId="0" borderId="0" xfId="0" applyNumberFormat="1" applyFont="1"/>
    <xf numFmtId="0" fontId="17" fillId="0" borderId="9" xfId="16" applyFont="1" applyBorder="1"/>
    <xf numFmtId="0" fontId="17" fillId="0" borderId="3" xfId="16" applyFont="1" applyBorder="1"/>
    <xf numFmtId="0" fontId="17" fillId="0" borderId="4" xfId="16" applyFont="1" applyBorder="1"/>
    <xf numFmtId="0" fontId="10" fillId="0" borderId="4" xfId="16" applyFont="1" applyBorder="1" applyAlignment="1">
      <alignment horizontal="center"/>
    </xf>
    <xf numFmtId="0" fontId="10" fillId="0" borderId="0" xfId="10" applyFont="1"/>
    <xf numFmtId="164" fontId="9" fillId="0" borderId="6" xfId="10" applyNumberFormat="1" applyFont="1" applyBorder="1" applyAlignment="1">
      <alignment horizontal="center"/>
    </xf>
    <xf numFmtId="164" fontId="9" fillId="0" borderId="1" xfId="10" applyNumberFormat="1" applyFont="1" applyBorder="1" applyAlignment="1">
      <alignment horizontal="center"/>
    </xf>
    <xf numFmtId="1" fontId="12" fillId="0" borderId="1" xfId="0" applyNumberFormat="1" applyFont="1" applyBorder="1" applyAlignment="1">
      <alignment horizontal="right"/>
    </xf>
    <xf numFmtId="2" fontId="12" fillId="0" borderId="1" xfId="0" applyNumberFormat="1" applyFont="1" applyBorder="1" applyAlignment="1">
      <alignment horizontal="center"/>
    </xf>
    <xf numFmtId="0" fontId="12" fillId="0" borderId="0" xfId="0" quotePrefix="1" applyFont="1"/>
    <xf numFmtId="0" fontId="9" fillId="0" borderId="8" xfId="10" applyFont="1" applyBorder="1"/>
    <xf numFmtId="166" fontId="9" fillId="0" borderId="8" xfId="10" applyNumberFormat="1" applyFont="1" applyBorder="1" applyAlignment="1">
      <alignment horizontal="center"/>
    </xf>
    <xf numFmtId="2" fontId="12" fillId="0" borderId="0" xfId="0" quotePrefix="1" applyNumberFormat="1" applyFont="1" applyAlignment="1">
      <alignment horizontal="center"/>
    </xf>
    <xf numFmtId="2" fontId="12" fillId="0" borderId="0" xfId="0" quotePrefix="1" applyNumberFormat="1" applyFont="1" applyAlignment="1">
      <alignment horizontal="left"/>
    </xf>
    <xf numFmtId="0" fontId="13" fillId="0" borderId="8" xfId="10" applyFont="1" applyBorder="1"/>
    <xf numFmtId="164" fontId="12" fillId="0" borderId="1" xfId="0" applyNumberFormat="1" applyFont="1" applyBorder="1" applyAlignment="1">
      <alignment horizontal="center"/>
    </xf>
    <xf numFmtId="164" fontId="12" fillId="0" borderId="5" xfId="0" applyNumberFormat="1" applyFont="1" applyBorder="1" applyAlignment="1">
      <alignment horizontal="center"/>
    </xf>
    <xf numFmtId="0" fontId="12" fillId="0" borderId="1" xfId="0" applyFont="1" applyBorder="1" applyAlignment="1">
      <alignment horizontal="right"/>
    </xf>
    <xf numFmtId="0" fontId="9" fillId="0" borderId="1" xfId="10" applyFont="1" applyBorder="1" applyAlignment="1">
      <alignment horizontal="right"/>
    </xf>
    <xf numFmtId="0" fontId="9" fillId="0" borderId="0" xfId="10" applyFont="1" applyAlignment="1">
      <alignment horizontal="right"/>
    </xf>
    <xf numFmtId="2" fontId="17" fillId="0" borderId="3" xfId="16" applyNumberFormat="1" applyFont="1" applyBorder="1"/>
    <xf numFmtId="2" fontId="17" fillId="0" borderId="4" xfId="16" applyNumberFormat="1" applyFont="1" applyBorder="1"/>
    <xf numFmtId="2" fontId="10" fillId="0" borderId="4" xfId="16" applyNumberFormat="1" applyFont="1" applyBorder="1" applyAlignment="1">
      <alignment horizontal="center"/>
    </xf>
    <xf numFmtId="2" fontId="9" fillId="0" borderId="4" xfId="16" applyNumberFormat="1" applyFont="1" applyBorder="1"/>
    <xf numFmtId="164" fontId="12" fillId="0" borderId="0" xfId="0" applyNumberFormat="1" applyFont="1" applyAlignment="1">
      <alignment horizontal="center"/>
    </xf>
    <xf numFmtId="1" fontId="8" fillId="0" borderId="0" xfId="15" applyNumberFormat="1" applyFont="1" applyAlignment="1">
      <alignment horizontal="center"/>
    </xf>
    <xf numFmtId="1" fontId="9" fillId="0" borderId="6" xfId="16" applyNumberFormat="1" applyFont="1" applyBorder="1" applyAlignment="1">
      <alignment horizontal="center"/>
    </xf>
    <xf numFmtId="0" fontId="8" fillId="0" borderId="0" xfId="16" applyFont="1" applyAlignment="1">
      <alignment horizontal="center"/>
    </xf>
    <xf numFmtId="0" fontId="9" fillId="5" borderId="1" xfId="16" applyFont="1" applyFill="1" applyBorder="1" applyAlignment="1">
      <alignment horizontal="center"/>
    </xf>
    <xf numFmtId="1" fontId="9" fillId="0" borderId="1" xfId="16" applyNumberFormat="1" applyFont="1" applyBorder="1" applyAlignment="1">
      <alignment horizontal="center"/>
    </xf>
    <xf numFmtId="1" fontId="8" fillId="0" borderId="1" xfId="15" applyNumberFormat="1" applyFont="1" applyBorder="1" applyAlignment="1">
      <alignment horizontal="center"/>
    </xf>
    <xf numFmtId="0" fontId="9" fillId="0" borderId="0" xfId="16" applyFont="1" applyAlignment="1">
      <alignment horizontal="center"/>
    </xf>
    <xf numFmtId="0" fontId="9" fillId="0" borderId="0" xfId="15" applyFont="1"/>
    <xf numFmtId="164" fontId="9" fillId="0" borderId="0" xfId="15" applyNumberFormat="1" applyFont="1"/>
    <xf numFmtId="0" fontId="9" fillId="0" borderId="0" xfId="15" applyFont="1" applyAlignment="1">
      <alignment horizontal="center"/>
    </xf>
    <xf numFmtId="0" fontId="10" fillId="7" borderId="23" xfId="16" applyFont="1" applyFill="1" applyBorder="1" applyAlignment="1">
      <alignment horizontal="right"/>
    </xf>
    <xf numFmtId="2" fontId="9" fillId="7" borderId="32" xfId="16" applyNumberFormat="1" applyFont="1" applyFill="1" applyBorder="1" applyAlignment="1">
      <alignment horizontal="center"/>
    </xf>
    <xf numFmtId="2" fontId="9" fillId="7" borderId="24" xfId="16" applyNumberFormat="1" applyFont="1" applyFill="1" applyBorder="1" applyAlignment="1">
      <alignment horizontal="center"/>
    </xf>
    <xf numFmtId="2" fontId="9" fillId="7" borderId="5" xfId="16" applyNumberFormat="1" applyFont="1" applyFill="1" applyBorder="1" applyAlignment="1">
      <alignment horizontal="center"/>
    </xf>
    <xf numFmtId="2" fontId="13" fillId="7" borderId="5" xfId="16" applyNumberFormat="1" applyFont="1" applyFill="1" applyBorder="1" applyAlignment="1">
      <alignment horizontal="center"/>
    </xf>
    <xf numFmtId="2" fontId="13" fillId="0" borderId="0" xfId="16" applyNumberFormat="1" applyFont="1" applyAlignment="1">
      <alignment horizontal="center"/>
    </xf>
    <xf numFmtId="0" fontId="10" fillId="7" borderId="14" xfId="16" applyFont="1" applyFill="1" applyBorder="1" applyAlignment="1">
      <alignment horizontal="right"/>
    </xf>
    <xf numFmtId="2" fontId="9" fillId="0" borderId="0" xfId="16" applyNumberFormat="1" applyFont="1" applyAlignment="1">
      <alignment horizontal="center"/>
    </xf>
    <xf numFmtId="0" fontId="10" fillId="0" borderId="0" xfId="16" applyFont="1"/>
    <xf numFmtId="0" fontId="9" fillId="7" borderId="23" xfId="16" applyFont="1" applyFill="1" applyBorder="1" applyAlignment="1">
      <alignment horizontal="right"/>
    </xf>
    <xf numFmtId="2" fontId="14" fillId="7" borderId="21" xfId="16" applyNumberFormat="1" applyFont="1" applyFill="1" applyBorder="1" applyAlignment="1">
      <alignment horizontal="right"/>
    </xf>
    <xf numFmtId="0" fontId="9" fillId="0" borderId="0" xfId="16" applyFont="1" applyAlignment="1">
      <alignment horizontal="right"/>
    </xf>
    <xf numFmtId="2" fontId="14" fillId="0" borderId="0" xfId="16" applyNumberFormat="1" applyFont="1" applyAlignment="1">
      <alignment horizontal="right"/>
    </xf>
    <xf numFmtId="0" fontId="10" fillId="7" borderId="19" xfId="15" applyFont="1" applyFill="1" applyBorder="1"/>
    <xf numFmtId="0" fontId="10" fillId="7" borderId="20" xfId="15" applyFont="1" applyFill="1" applyBorder="1"/>
    <xf numFmtId="0" fontId="10" fillId="0" borderId="0" xfId="15" applyFont="1"/>
    <xf numFmtId="0" fontId="9" fillId="7" borderId="23" xfId="16" applyFont="1" applyFill="1" applyBorder="1"/>
    <xf numFmtId="1" fontId="8" fillId="7" borderId="21" xfId="16" applyNumberFormat="1" applyFont="1" applyFill="1" applyBorder="1" applyAlignment="1">
      <alignment horizontal="center"/>
    </xf>
    <xf numFmtId="0" fontId="8" fillId="0" borderId="0" xfId="16" applyFont="1" applyAlignment="1">
      <alignment horizontal="left"/>
    </xf>
    <xf numFmtId="164" fontId="8" fillId="0" borderId="0" xfId="16" applyNumberFormat="1" applyFont="1" applyAlignment="1">
      <alignment horizontal="center"/>
    </xf>
    <xf numFmtId="1" fontId="8" fillId="0" borderId="0" xfId="15" applyNumberFormat="1" applyFont="1"/>
    <xf numFmtId="0" fontId="8" fillId="0" borderId="0" xfId="15" applyFont="1"/>
    <xf numFmtId="0" fontId="9" fillId="7" borderId="16" xfId="16" applyFont="1" applyFill="1" applyBorder="1" applyAlignment="1">
      <alignment horizontal="center"/>
    </xf>
    <xf numFmtId="0" fontId="17" fillId="7" borderId="36" xfId="15" applyFont="1" applyFill="1" applyBorder="1"/>
    <xf numFmtId="0" fontId="10" fillId="0" borderId="37" xfId="16" applyFont="1" applyBorder="1"/>
    <xf numFmtId="0" fontId="9" fillId="0" borderId="12" xfId="0" applyFont="1" applyBorder="1"/>
    <xf numFmtId="0" fontId="10" fillId="0" borderId="43" xfId="16" applyFont="1" applyBorder="1"/>
    <xf numFmtId="2" fontId="9" fillId="0" borderId="4" xfId="16" applyNumberFormat="1" applyFont="1" applyBorder="1" applyAlignment="1">
      <alignment horizontal="center"/>
    </xf>
    <xf numFmtId="0" fontId="9" fillId="0" borderId="41" xfId="16" applyFont="1" applyBorder="1"/>
    <xf numFmtId="0" fontId="10" fillId="0" borderId="12" xfId="0" applyFont="1" applyBorder="1"/>
    <xf numFmtId="0" fontId="9" fillId="0" borderId="14" xfId="0" applyFont="1" applyBorder="1"/>
    <xf numFmtId="0" fontId="41" fillId="0" borderId="8" xfId="14" applyFill="1" applyBorder="1" applyAlignment="1" applyProtection="1"/>
    <xf numFmtId="165" fontId="21" fillId="0" borderId="18" xfId="10" applyNumberFormat="1" applyFont="1" applyBorder="1"/>
    <xf numFmtId="0" fontId="41" fillId="0" borderId="23" xfId="14" applyBorder="1" applyAlignment="1" applyProtection="1"/>
    <xf numFmtId="0" fontId="0" fillId="0" borderId="1" xfId="0" applyNumberFormat="1" applyBorder="1"/>
    <xf numFmtId="0" fontId="0" fillId="0" borderId="6" xfId="0" applyNumberFormat="1" applyBorder="1"/>
    <xf numFmtId="0" fontId="0" fillId="0" borderId="15" xfId="0" applyNumberFormat="1" applyBorder="1"/>
    <xf numFmtId="0" fontId="12" fillId="0" borderId="1" xfId="0" applyFont="1" applyFill="1" applyBorder="1" applyAlignment="1">
      <alignment horizontal="center"/>
    </xf>
    <xf numFmtId="0" fontId="12" fillId="0" borderId="0" xfId="0" applyFont="1" applyFill="1" applyBorder="1" applyAlignment="1">
      <alignment horizontal="center"/>
    </xf>
    <xf numFmtId="0" fontId="12" fillId="0" borderId="1" xfId="0" applyFont="1" applyBorder="1" applyAlignment="1">
      <alignment horizontal="center"/>
    </xf>
    <xf numFmtId="0" fontId="12" fillId="0" borderId="0" xfId="0" applyFont="1" applyAlignment="1">
      <alignment horizontal="center"/>
    </xf>
    <xf numFmtId="0" fontId="18" fillId="0" borderId="0" xfId="0" applyFont="1" applyBorder="1" applyAlignment="1"/>
    <xf numFmtId="0" fontId="21" fillId="0" borderId="0" xfId="10" applyFont="1" applyBorder="1" applyAlignment="1">
      <alignment horizontal="center"/>
    </xf>
    <xf numFmtId="0" fontId="17" fillId="12" borderId="19" xfId="15" applyFont="1" applyFill="1" applyBorder="1" applyAlignment="1">
      <alignment horizontal="center"/>
    </xf>
    <xf numFmtId="0" fontId="17" fillId="12" borderId="20" xfId="15" applyFont="1" applyFill="1" applyBorder="1" applyAlignment="1">
      <alignment horizontal="center"/>
    </xf>
    <xf numFmtId="0" fontId="17" fillId="13" borderId="19" xfId="15" applyFont="1" applyFill="1" applyBorder="1" applyAlignment="1">
      <alignment horizontal="center"/>
    </xf>
    <xf numFmtId="0" fontId="17" fillId="13" borderId="20" xfId="15" applyFont="1" applyFill="1" applyBorder="1" applyAlignment="1">
      <alignment horizontal="center"/>
    </xf>
    <xf numFmtId="0" fontId="17" fillId="14" borderId="19" xfId="15" applyFont="1" applyFill="1" applyBorder="1" applyAlignment="1">
      <alignment horizontal="center"/>
    </xf>
    <xf numFmtId="0" fontId="17" fillId="14" borderId="20" xfId="15" applyFont="1" applyFill="1" applyBorder="1" applyAlignment="1">
      <alignment horizontal="center"/>
    </xf>
    <xf numFmtId="0" fontId="15" fillId="0" borderId="0" xfId="0" applyFont="1" applyFill="1" applyBorder="1" applyAlignment="1">
      <alignment horizontal="left"/>
    </xf>
    <xf numFmtId="0" fontId="27" fillId="2" borderId="1" xfId="0" applyFont="1" applyFill="1" applyBorder="1" applyAlignment="1">
      <alignment horizontal="center"/>
    </xf>
    <xf numFmtId="0" fontId="12" fillId="0" borderId="1" xfId="0" applyFont="1" applyFill="1" applyBorder="1" applyAlignment="1">
      <alignment horizontal="center"/>
    </xf>
    <xf numFmtId="0" fontId="12" fillId="0" borderId="0" xfId="0" applyFont="1" applyFill="1" applyBorder="1" applyAlignment="1">
      <alignment horizontal="center"/>
    </xf>
    <xf numFmtId="0" fontId="10" fillId="6" borderId="19" xfId="4" applyFont="1" applyFill="1" applyBorder="1" applyAlignment="1">
      <alignment horizontal="center" vertical="center" wrapText="1"/>
    </xf>
    <xf numFmtId="0" fontId="10" fillId="6" borderId="22" xfId="4" applyFont="1" applyFill="1" applyBorder="1" applyAlignment="1">
      <alignment horizontal="center" vertical="center" wrapText="1"/>
    </xf>
    <xf numFmtId="0" fontId="10" fillId="6" borderId="20" xfId="4" applyFont="1" applyFill="1" applyBorder="1" applyAlignment="1">
      <alignment horizontal="center" vertical="center" wrapText="1"/>
    </xf>
    <xf numFmtId="0" fontId="10" fillId="7" borderId="19" xfId="7" applyFont="1" applyFill="1" applyBorder="1" applyAlignment="1">
      <alignment horizontal="left"/>
    </xf>
    <xf numFmtId="0" fontId="10" fillId="7" borderId="22" xfId="7" applyFont="1" applyFill="1" applyBorder="1" applyAlignment="1">
      <alignment horizontal="left"/>
    </xf>
    <xf numFmtId="0" fontId="10" fillId="7" borderId="20" xfId="7" applyFont="1" applyFill="1" applyBorder="1" applyAlignment="1">
      <alignment horizontal="left"/>
    </xf>
    <xf numFmtId="0" fontId="10" fillId="7" borderId="19" xfId="15" applyFont="1" applyFill="1" applyBorder="1" applyAlignment="1">
      <alignment horizontal="left"/>
    </xf>
    <xf numFmtId="0" fontId="10" fillId="7" borderId="22" xfId="15" applyFont="1" applyFill="1" applyBorder="1" applyAlignment="1">
      <alignment horizontal="left"/>
    </xf>
    <xf numFmtId="0" fontId="10" fillId="7" borderId="20" xfId="15" applyFont="1" applyFill="1" applyBorder="1" applyAlignment="1">
      <alignment horizontal="left"/>
    </xf>
    <xf numFmtId="0" fontId="10" fillId="6" borderId="19" xfId="16" applyFont="1" applyFill="1" applyBorder="1" applyAlignment="1">
      <alignment horizontal="left" wrapText="1"/>
    </xf>
    <xf numFmtId="0" fontId="10" fillId="6" borderId="22" xfId="16" applyFont="1" applyFill="1" applyBorder="1" applyAlignment="1">
      <alignment horizontal="left" wrapText="1"/>
    </xf>
    <xf numFmtId="0" fontId="10" fillId="6" borderId="20" xfId="16" applyFont="1" applyFill="1" applyBorder="1" applyAlignment="1">
      <alignment horizontal="left" wrapText="1"/>
    </xf>
    <xf numFmtId="0" fontId="10" fillId="7" borderId="10" xfId="15" applyFont="1" applyFill="1" applyBorder="1" applyAlignment="1">
      <alignment horizontal="left"/>
    </xf>
    <xf numFmtId="0" fontId="10" fillId="7" borderId="11" xfId="15" applyFont="1" applyFill="1" applyBorder="1" applyAlignment="1">
      <alignment horizontal="left"/>
    </xf>
    <xf numFmtId="0" fontId="15" fillId="0" borderId="0" xfId="0" applyFont="1" applyAlignment="1">
      <alignment horizontal="left"/>
    </xf>
    <xf numFmtId="0" fontId="12" fillId="0" borderId="1" xfId="0" applyFont="1" applyBorder="1" applyAlignment="1">
      <alignment horizontal="center"/>
    </xf>
    <xf numFmtId="0" fontId="12" fillId="0" borderId="0" xfId="0" applyFont="1" applyAlignment="1">
      <alignment horizontal="center"/>
    </xf>
    <xf numFmtId="0" fontId="10" fillId="6" borderId="19" xfId="16" applyFont="1" applyFill="1" applyBorder="1" applyAlignment="1">
      <alignment horizontal="center" vertical="center" wrapText="1"/>
    </xf>
    <xf numFmtId="0" fontId="10" fillId="6" borderId="22" xfId="16" applyFont="1" applyFill="1" applyBorder="1" applyAlignment="1">
      <alignment horizontal="center" vertical="center" wrapText="1"/>
    </xf>
    <xf numFmtId="0" fontId="10" fillId="6" borderId="20" xfId="16" applyFont="1" applyFill="1" applyBorder="1" applyAlignment="1">
      <alignment horizontal="center" vertical="center" wrapText="1"/>
    </xf>
    <xf numFmtId="0" fontId="10" fillId="7" borderId="19" xfId="4" applyFont="1" applyFill="1" applyBorder="1" applyAlignment="1">
      <alignment horizontal="center" wrapText="1"/>
    </xf>
    <xf numFmtId="0" fontId="10" fillId="7" borderId="22" xfId="4" applyFont="1" applyFill="1" applyBorder="1" applyAlignment="1">
      <alignment horizontal="center" wrapText="1"/>
    </xf>
    <xf numFmtId="0" fontId="10" fillId="7" borderId="20" xfId="4" applyFont="1" applyFill="1" applyBorder="1" applyAlignment="1">
      <alignment horizontal="center" wrapText="1"/>
    </xf>
    <xf numFmtId="0" fontId="15" fillId="0" borderId="0" xfId="15" applyFont="1" applyAlignment="1">
      <alignment horizontal="left"/>
    </xf>
    <xf numFmtId="165" fontId="15" fillId="0" borderId="0" xfId="15" applyNumberFormat="1" applyFont="1" applyAlignment="1">
      <alignment horizontal="left"/>
    </xf>
    <xf numFmtId="0" fontId="49" fillId="17" borderId="49" xfId="18" applyFont="1" applyFill="1" applyBorder="1" applyAlignment="1">
      <alignment horizontal="center" vertical="center" textRotation="180"/>
    </xf>
    <xf numFmtId="0" fontId="49" fillId="17" borderId="50" xfId="18" applyFont="1" applyFill="1" applyBorder="1" applyAlignment="1">
      <alignment horizontal="center" vertical="center" textRotation="180"/>
    </xf>
    <xf numFmtId="0" fontId="49" fillId="17" borderId="54" xfId="18" applyFont="1" applyFill="1" applyBorder="1" applyAlignment="1">
      <alignment horizontal="center" vertical="center" textRotation="180"/>
    </xf>
    <xf numFmtId="0" fontId="30" fillId="0" borderId="48" xfId="0" applyFont="1" applyBorder="1" applyAlignment="1">
      <alignment horizontal="center" vertical="center" wrapText="1"/>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8" fillId="0" borderId="50"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49" xfId="0" applyFont="1" applyBorder="1" applyAlignment="1">
      <alignment horizontal="center" vertical="center" wrapText="1"/>
    </xf>
    <xf numFmtId="0" fontId="18" fillId="0" borderId="0" xfId="0" applyFont="1" applyBorder="1" applyAlignment="1"/>
    <xf numFmtId="0" fontId="38" fillId="3" borderId="49" xfId="15" applyFont="1" applyFill="1" applyBorder="1" applyAlignment="1">
      <alignment horizontal="center" vertical="center" wrapText="1"/>
    </xf>
    <xf numFmtId="0" fontId="38" fillId="3" borderId="54" xfId="15" applyFont="1" applyFill="1" applyBorder="1" applyAlignment="1">
      <alignment horizontal="center" vertical="center" wrapText="1"/>
    </xf>
    <xf numFmtId="0" fontId="38" fillId="0" borderId="50" xfId="15" applyFont="1" applyBorder="1" applyAlignment="1">
      <alignment horizontal="center" vertical="center"/>
    </xf>
    <xf numFmtId="0" fontId="38" fillId="0" borderId="54" xfId="15" applyFont="1" applyBorder="1" applyAlignment="1">
      <alignment horizontal="center" vertical="center"/>
    </xf>
    <xf numFmtId="0" fontId="38" fillId="3" borderId="22" xfId="0" applyFont="1" applyFill="1" applyBorder="1" applyAlignment="1">
      <alignment horizontal="center" vertical="center" wrapText="1"/>
    </xf>
    <xf numFmtId="0" fontId="38" fillId="3" borderId="20" xfId="0" applyFont="1" applyFill="1" applyBorder="1" applyAlignment="1">
      <alignment horizontal="center" vertical="center" wrapText="1"/>
    </xf>
  </cellXfs>
  <cellStyles count="27">
    <cellStyle name="Comma 2" xfId="11" xr:uid="{00000000-0005-0000-0000-000000000000}"/>
    <cellStyle name="Comma 2 2" xfId="9" xr:uid="{00000000-0005-0000-0000-000001000000}"/>
    <cellStyle name="Hyperlink" xfId="14" builtinId="8" customBuiltin="1"/>
    <cellStyle name="Hyperlink 2" xfId="17" xr:uid="{00000000-0005-0000-0000-000003000000}"/>
    <cellStyle name="Hyperlink 3 2" xfId="19" xr:uid="{00000000-0005-0000-0000-000004000000}"/>
    <cellStyle name="Normal" xfId="0" builtinId="0"/>
    <cellStyle name="Normal 2" xfId="5" xr:uid="{00000000-0005-0000-0000-000006000000}"/>
    <cellStyle name="Normal 2 2" xfId="7" xr:uid="{00000000-0005-0000-0000-000007000000}"/>
    <cellStyle name="Normal 2 2 2" xfId="15" xr:uid="{00000000-0005-0000-0000-000008000000}"/>
    <cellStyle name="Normal 2 3" xfId="13" xr:uid="{00000000-0005-0000-0000-000009000000}"/>
    <cellStyle name="Normal 3" xfId="10" xr:uid="{00000000-0005-0000-0000-00000A000000}"/>
    <cellStyle name="Normal 3 2" xfId="4" xr:uid="{00000000-0005-0000-0000-00000B000000}"/>
    <cellStyle name="Normal 3 2 2" xfId="16" xr:uid="{00000000-0005-0000-0000-00000C000000}"/>
    <cellStyle name="Normal 4" xfId="22" xr:uid="{00000000-0005-0000-0000-00000D000000}"/>
    <cellStyle name="Normal 4 2" xfId="18" xr:uid="{00000000-0005-0000-0000-00000E000000}"/>
    <cellStyle name="Normal 5" xfId="21" xr:uid="{00000000-0005-0000-0000-00000F000000}"/>
    <cellStyle name="Normal 5 2" xfId="20" xr:uid="{00000000-0005-0000-0000-000010000000}"/>
    <cellStyle name="Normal 6" xfId="24" xr:uid="{00000000-0005-0000-0000-000011000000}"/>
    <cellStyle name="Normal 7" xfId="26" xr:uid="{00000000-0005-0000-0000-000012000000}"/>
    <cellStyle name="Normal 8" xfId="23" xr:uid="{00000000-0005-0000-0000-000013000000}"/>
    <cellStyle name="Normal 8 2" xfId="25" xr:uid="{00000000-0005-0000-0000-000014000000}"/>
    <cellStyle name="Normal_Task Options - Gooch Chopped" xfId="6" xr:uid="{00000000-0005-0000-0000-000015000000}"/>
    <cellStyle name="Normal1" xfId="1" xr:uid="{00000000-0005-0000-0000-000016000000}"/>
    <cellStyle name="Normal2" xfId="2" xr:uid="{00000000-0005-0000-0000-000017000000}"/>
    <cellStyle name="Percent" xfId="3" builtinId="5"/>
    <cellStyle name="Percent 2" xfId="12" xr:uid="{00000000-0005-0000-0000-000019000000}"/>
    <cellStyle name="Percent 2 2" xfId="8" xr:uid="{00000000-0005-0000-0000-00001A000000}"/>
  </cellStyles>
  <dxfs count="167">
    <dxf>
      <fill>
        <patternFill>
          <bgColor theme="9" tint="0.79998168889431442"/>
        </patternFill>
      </fill>
    </dxf>
    <dxf>
      <fill>
        <patternFill>
          <bgColor theme="9" tint="0.79998168889431442"/>
        </patternFill>
      </fill>
    </dxf>
    <dxf>
      <fill>
        <patternFill>
          <bgColor theme="0" tint="-0.24994659260841701"/>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FFFF99"/>
      </font>
    </dxf>
    <dxf>
      <font>
        <color rgb="FFFFFF99"/>
      </font>
    </dxf>
    <dxf>
      <font>
        <color rgb="FFFFFF99"/>
      </font>
    </dxf>
    <dxf>
      <font>
        <color rgb="FF66FF66"/>
      </font>
    </dxf>
    <dxf>
      <font>
        <color rgb="FFFF7979"/>
      </font>
    </dxf>
    <dxf>
      <font>
        <color rgb="FFFF7979"/>
      </font>
    </dxf>
    <dxf>
      <font>
        <color rgb="FFFFFF99"/>
      </font>
    </dxf>
    <dxf>
      <font>
        <color rgb="FFFFFF99"/>
      </font>
    </dxf>
    <dxf>
      <font>
        <color rgb="FF66FF66"/>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FFFF99"/>
      </font>
    </dxf>
    <dxf>
      <font>
        <color rgb="FFFFFF99"/>
      </font>
    </dxf>
    <dxf>
      <font>
        <color rgb="FFFFFF99"/>
      </font>
    </dxf>
    <dxf>
      <font>
        <color rgb="FF66FF66"/>
      </font>
    </dxf>
    <dxf>
      <font>
        <color rgb="FFFF7979"/>
      </font>
    </dxf>
    <dxf>
      <font>
        <color rgb="FFFF7979"/>
      </font>
    </dxf>
    <dxf>
      <font>
        <color rgb="FFFFFF99"/>
      </font>
    </dxf>
    <dxf>
      <font>
        <color rgb="FFFFFF99"/>
      </font>
    </dxf>
    <dxf>
      <font>
        <color rgb="FF66FF66"/>
      </font>
    </dxf>
    <dxf>
      <font>
        <color rgb="FFFF7979"/>
      </font>
    </dxf>
    <dxf>
      <font>
        <color rgb="FFFFFF9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FFFF99"/>
      </font>
    </dxf>
    <dxf>
      <font>
        <color rgb="FFFFFF99"/>
      </font>
    </dxf>
    <dxf>
      <font>
        <color rgb="FFFFFF99"/>
      </font>
    </dxf>
    <dxf>
      <font>
        <color rgb="FF66FF66"/>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FFFF99"/>
      </font>
    </dxf>
    <dxf>
      <font>
        <color rgb="FFFFFF99"/>
      </font>
    </dxf>
    <dxf>
      <font>
        <color rgb="FFFFFF99"/>
      </font>
    </dxf>
    <dxf>
      <font>
        <color rgb="FF66FF66"/>
      </font>
    </dxf>
    <dxf>
      <font>
        <color rgb="FFFF7979"/>
      </font>
    </dxf>
    <dxf>
      <font>
        <color rgb="FFFF7979"/>
      </font>
    </dxf>
    <dxf>
      <font>
        <color rgb="FFFFFF99"/>
      </font>
    </dxf>
    <dxf>
      <font>
        <color rgb="FFFFFF99"/>
      </font>
    </dxf>
    <dxf>
      <font>
        <color rgb="FF66FF66"/>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FFFF99"/>
      </font>
    </dxf>
    <dxf>
      <font>
        <color rgb="FFFFFF99"/>
      </font>
    </dxf>
    <dxf>
      <font>
        <color rgb="FFFFFF99"/>
      </font>
    </dxf>
    <dxf>
      <font>
        <color rgb="FF66FF66"/>
      </font>
    </dxf>
    <dxf>
      <font>
        <color rgb="FFFF7979"/>
      </font>
    </dxf>
    <dxf>
      <font>
        <color rgb="FFFF7979"/>
      </font>
    </dxf>
    <dxf>
      <font>
        <color rgb="FFFFFF99"/>
      </font>
    </dxf>
    <dxf>
      <font>
        <color rgb="FFFFFF99"/>
      </font>
    </dxf>
    <dxf>
      <font>
        <color rgb="FF66FF66"/>
      </font>
    </dxf>
    <dxf>
      <font>
        <color rgb="FFFF7979"/>
      </font>
    </dxf>
    <dxf>
      <font>
        <color rgb="FFFFFF99"/>
      </font>
    </dxf>
    <dxf>
      <font>
        <color rgb="FFFFFF99"/>
      </font>
    </dxf>
    <dxf>
      <font>
        <color rgb="FF66FF66"/>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58</xdr:row>
      <xdr:rowOff>0</xdr:rowOff>
    </xdr:to>
    <xdr:sp macro="" textlink="">
      <xdr:nvSpPr>
        <xdr:cNvPr id="2" name="Line 9">
          <a:extLst>
            <a:ext uri="{FF2B5EF4-FFF2-40B4-BE49-F238E27FC236}">
              <a16:creationId xmlns:a16="http://schemas.microsoft.com/office/drawing/2014/main" id="{00000000-0008-0000-0800-000002000000}"/>
            </a:ext>
          </a:extLst>
        </xdr:cNvPr>
        <xdr:cNvSpPr>
          <a:spLocks noChangeShapeType="1"/>
        </xdr:cNvSpPr>
      </xdr:nvSpPr>
      <xdr:spPr bwMode="auto">
        <a:xfrm>
          <a:off x="0" y="0"/>
          <a:ext cx="0" cy="11268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s://cpf.navy.deps.mil/sites/cnap/N42/N422/Shared%20Documents/Forms/AllItems.aspx?RootFolder=%2Fsites%2Fcnap%2FN42%2FN422%2FShared%20Documents%2FN422C%20NAMP%2FMESMs%20and%20MC%2DFMC%20Goals&amp;FolderCTID=0x012000212BF25147D011499F67519C86833776&amp;View=%7BF"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24"/>
  <sheetViews>
    <sheetView showGridLines="0" tabSelected="1" workbookViewId="0"/>
  </sheetViews>
  <sheetFormatPr defaultRowHeight="15" x14ac:dyDescent="0.25"/>
  <cols>
    <col min="1" max="1" width="57.85546875" style="93" bestFit="1" customWidth="1"/>
    <col min="2" max="2" width="16.28515625" style="93" customWidth="1"/>
    <col min="3" max="3" width="7.85546875" style="93" customWidth="1"/>
    <col min="4" max="4" width="11.42578125" style="93" customWidth="1"/>
    <col min="5" max="16384" width="9.140625" style="93"/>
  </cols>
  <sheetData>
    <row r="1" spans="1:5" ht="15.75" thickBot="1" x14ac:dyDescent="0.3">
      <c r="A1" s="101" t="s">
        <v>0</v>
      </c>
      <c r="B1" s="514"/>
      <c r="C1" s="514" t="s">
        <v>1</v>
      </c>
      <c r="D1" s="102" t="s">
        <v>2</v>
      </c>
    </row>
    <row r="2" spans="1:5" x14ac:dyDescent="0.25">
      <c r="A2" s="650" t="str">
        <f>'HM - 3 AC 3 Crew'!A1</f>
        <v>Readiness Standards MH-53E 3 ACFT 3 Crew</v>
      </c>
      <c r="B2" s="512" t="s">
        <v>3</v>
      </c>
      <c r="C2" s="651" t="str">
        <f>'HM - 3 AC 3 Crew'!M1</f>
        <v>01.01</v>
      </c>
      <c r="D2" s="94">
        <f>'HM - 3 AC 3 Crew'!J1</f>
        <v>44866</v>
      </c>
      <c r="E2" s="103" t="str">
        <f ca="1">IF(D2&gt;NOW()-90," ! NEW","")</f>
        <v/>
      </c>
    </row>
    <row r="3" spans="1:5" x14ac:dyDescent="0.25">
      <c r="A3" s="371" t="str">
        <f>'HM - 4 AC 4 Crew'!A1</f>
        <v>Readiness Standards MH-53E 4 ACFT 4 Crew</v>
      </c>
      <c r="B3" s="513" t="s">
        <v>3</v>
      </c>
      <c r="C3" s="651" t="str">
        <f>'HM - 4 AC 4 Crew'!M1</f>
        <v>01.02</v>
      </c>
      <c r="D3" s="96">
        <f>'HM - 4 AC 4 Crew'!J1</f>
        <v>44866</v>
      </c>
      <c r="E3" s="103" t="str">
        <f t="shared" ref="E3:E10" ca="1" si="0">IF(D3&gt;NOW()-90," ! NEW","")</f>
        <v/>
      </c>
    </row>
    <row r="4" spans="1:5" x14ac:dyDescent="0.25">
      <c r="A4" s="371" t="str">
        <f>'HM-Det 3'!A1</f>
        <v>Readiness Standards MH-53E 2 ACFT 3 Crew</v>
      </c>
      <c r="B4" s="648" t="s">
        <v>3</v>
      </c>
      <c r="C4" s="652" t="str">
        <f>'HM-Det 3'!M1</f>
        <v>01.03</v>
      </c>
      <c r="D4" s="649">
        <f>'HM-Det 3'!J1</f>
        <v>44835</v>
      </c>
      <c r="E4" s="103" t="str">
        <f t="shared" ca="1" si="0"/>
        <v/>
      </c>
    </row>
    <row r="5" spans="1:5" x14ac:dyDescent="0.25">
      <c r="A5" s="371" t="str">
        <f>'HM - Bahrain DRRS'!A1</f>
        <v>Readiness Standards MH-53E 4 ACFT 6 Crew Bahrain</v>
      </c>
      <c r="B5" s="648" t="s">
        <v>3</v>
      </c>
      <c r="C5" s="519" t="str">
        <f>'HM - Bahrain DRRS'!M1</f>
        <v>01.04</v>
      </c>
      <c r="D5" s="649">
        <f>'HM - Bahrain DRRS'!J1</f>
        <v>44835</v>
      </c>
      <c r="E5" s="103" t="str">
        <f t="shared" ca="1" si="0"/>
        <v/>
      </c>
    </row>
    <row r="6" spans="1:5" x14ac:dyDescent="0.25">
      <c r="A6" s="371" t="str">
        <f>'HM - 4 AC, 6 Crew DRRS'!A1</f>
        <v>Readiness Standards MH-53E 4 ACFT 6 Crew</v>
      </c>
      <c r="B6" s="513" t="s">
        <v>3</v>
      </c>
      <c r="C6" s="651" t="str">
        <f>'HM - 4 AC, 6 Crew DRRS'!M1</f>
        <v>01.05</v>
      </c>
      <c r="D6" s="96">
        <f>'HM - 4 AC, 6 Crew DRRS'!J1</f>
        <v>44835</v>
      </c>
      <c r="E6" s="103" t="str">
        <f t="shared" ca="1" si="0"/>
        <v/>
      </c>
    </row>
    <row r="7" spans="1:5" x14ac:dyDescent="0.25">
      <c r="A7" s="371" t="str">
        <f>'HM (MH-53E FRS)'!A1</f>
        <v>Readiness Standards HM MH-53E FRS</v>
      </c>
      <c r="B7" s="501"/>
      <c r="C7" s="651" t="str">
        <f>'HM (MH-53E FRS)'!M1</f>
        <v>01.06</v>
      </c>
      <c r="D7" s="96">
        <f>'HM (MH-53E FRS)'!I1</f>
        <v>44835</v>
      </c>
      <c r="E7" s="103" t="str">
        <f t="shared" ca="1" si="0"/>
        <v/>
      </c>
    </row>
    <row r="8" spans="1:5" x14ac:dyDescent="0.25">
      <c r="A8" s="371" t="str">
        <f>'HM Reduced MET Matrix'!C2</f>
        <v>Navy MH-53E TMS Reduced MET to Mission System Map</v>
      </c>
      <c r="B8" s="367"/>
      <c r="C8" s="651"/>
      <c r="D8" s="96">
        <f>'HM Reduced MET Matrix'!B1</f>
        <v>43586</v>
      </c>
      <c r="E8" s="103" t="str">
        <f t="shared" ca="1" si="0"/>
        <v/>
      </c>
    </row>
    <row r="9" spans="1:5" x14ac:dyDescent="0.25">
      <c r="A9" s="371" t="str">
        <f>'MH-53E Mission System Summary'!A1</f>
        <v>MH-53E Mission System Utilization per Flight Task</v>
      </c>
      <c r="B9" s="367"/>
      <c r="C9" s="651"/>
      <c r="D9" s="96">
        <f>'MH-53E Mission System Summary'!J1</f>
        <v>44859</v>
      </c>
      <c r="E9" s="103" t="str">
        <f t="shared" ca="1" si="0"/>
        <v/>
      </c>
    </row>
    <row r="10" spans="1:5" x14ac:dyDescent="0.25">
      <c r="A10" s="371" t="str">
        <f>'HM Mission Systems'!A1</f>
        <v>Mission System Groups HM MH-53E</v>
      </c>
      <c r="B10" s="367"/>
      <c r="C10" s="651"/>
      <c r="D10" s="96">
        <f>'HM Mission Systems'!E1</f>
        <v>41771</v>
      </c>
      <c r="E10" s="103" t="str">
        <f t="shared" ca="1" si="0"/>
        <v/>
      </c>
    </row>
    <row r="11" spans="1:5" x14ac:dyDescent="0.25">
      <c r="A11" s="371" t="s">
        <v>4</v>
      </c>
      <c r="B11" s="367"/>
      <c r="C11" s="651"/>
      <c r="D11" s="96"/>
      <c r="E11" s="103" t="str">
        <f t="shared" ref="E11:E14" ca="1" si="1">IF(D11&gt;NOW()-90," ! NEW","")</f>
        <v/>
      </c>
    </row>
    <row r="12" spans="1:5" x14ac:dyDescent="0.25">
      <c r="A12" s="95"/>
      <c r="B12" s="367"/>
      <c r="C12" s="651"/>
      <c r="D12" s="96"/>
      <c r="E12" s="103" t="str">
        <f t="shared" ca="1" si="1"/>
        <v/>
      </c>
    </row>
    <row r="13" spans="1:5" x14ac:dyDescent="0.25">
      <c r="A13" s="95"/>
      <c r="B13" s="367"/>
      <c r="C13" s="651"/>
      <c r="D13" s="96"/>
      <c r="E13" s="103" t="str">
        <f t="shared" ca="1" si="1"/>
        <v/>
      </c>
    </row>
    <row r="14" spans="1:5" ht="15.75" thickBot="1" x14ac:dyDescent="0.3">
      <c r="A14" s="99"/>
      <c r="B14" s="368"/>
      <c r="C14" s="653"/>
      <c r="D14" s="100"/>
      <c r="E14" s="103" t="str">
        <f t="shared" ca="1" si="1"/>
        <v/>
      </c>
    </row>
    <row r="15" spans="1:5" x14ac:dyDescent="0.25">
      <c r="A15" s="97"/>
      <c r="B15" s="97"/>
      <c r="C15" s="97"/>
      <c r="D15" s="98"/>
    </row>
    <row r="16" spans="1:5" x14ac:dyDescent="0.25">
      <c r="A16" s="659" t="s">
        <v>5</v>
      </c>
      <c r="B16" s="659"/>
      <c r="C16" s="659"/>
      <c r="D16" s="659"/>
    </row>
    <row r="17" spans="1:4" x14ac:dyDescent="0.25">
      <c r="A17" s="533"/>
      <c r="B17" s="533"/>
      <c r="C17" s="533"/>
      <c r="D17" s="534"/>
    </row>
    <row r="18" spans="1:4" x14ac:dyDescent="0.25">
      <c r="A18" s="533"/>
      <c r="B18" s="533"/>
      <c r="C18" s="533"/>
      <c r="D18" s="534"/>
    </row>
    <row r="19" spans="1:4" x14ac:dyDescent="0.25">
      <c r="A19" s="533"/>
      <c r="B19" s="533"/>
      <c r="C19" s="533"/>
      <c r="D19" s="534"/>
    </row>
    <row r="20" spans="1:4" x14ac:dyDescent="0.25">
      <c r="A20" s="533"/>
      <c r="B20" s="533"/>
      <c r="C20" s="533"/>
      <c r="D20" s="534"/>
    </row>
    <row r="21" spans="1:4" x14ac:dyDescent="0.25">
      <c r="A21" s="97"/>
      <c r="B21" s="97"/>
      <c r="C21" s="97"/>
      <c r="D21" s="97"/>
    </row>
    <row r="24" spans="1:4" x14ac:dyDescent="0.25">
      <c r="A24" s="104" t="s">
        <v>6</v>
      </c>
      <c r="B24" s="104"/>
      <c r="C24" s="104"/>
    </row>
  </sheetData>
  <mergeCells count="1">
    <mergeCell ref="A16:D16"/>
  </mergeCells>
  <hyperlinks>
    <hyperlink ref="A3" location="'HM - 4 AC 4 Crew'!A1" display="'HM - 4 AC 4 Crew'!A1" xr:uid="{00000000-0004-0000-0000-000000000000}"/>
    <hyperlink ref="A6" location="'HM - 4 AC, 6 Crew DRRS'!A1" display="'HM - 4 AC, 6 Crew DRRS'!A1" xr:uid="{00000000-0004-0000-0000-000001000000}"/>
    <hyperlink ref="A4" location="'HM-Det 3'!A1" display="'HM-Det 3'!A1" xr:uid="{00000000-0004-0000-0000-000002000000}"/>
    <hyperlink ref="B4" location="'HM-Det 3'!A155" display="AMFOM" xr:uid="{00000000-0004-0000-0000-000003000000}"/>
    <hyperlink ref="B3" location="'HM - 4 AC 4 Crew'!A155" display="AMFOM" xr:uid="{00000000-0004-0000-0000-000004000000}"/>
    <hyperlink ref="B6" location="'HM - 4 AC, 6 Crew DRRS'!A155" display="AMFOM" xr:uid="{00000000-0004-0000-0000-000005000000}"/>
    <hyperlink ref="A10" location="'HM Mission Systems'!A1" display="'HM Mission Systems'!A1" xr:uid="{00000000-0004-0000-0000-000006000000}"/>
    <hyperlink ref="A7" location="'HM (MH-53E FRS)'!A1" display="'HM (MH-53E FRS)'!A1" xr:uid="{00000000-0004-0000-0000-000007000000}"/>
    <hyperlink ref="A11" location="Definitions!A1" display="Definitions" xr:uid="{00000000-0004-0000-0000-000008000000}"/>
    <hyperlink ref="A8" location="'HM Reduced MET Matrix'!A1" display="'HM Reduced MET Matrix'!A1" xr:uid="{00000000-0004-0000-0000-000009000000}"/>
    <hyperlink ref="A9" location="'MH-53E Mission System Summary'!A1" display="'MH-53E Mission System Summary'!A1" xr:uid="{00000000-0004-0000-0000-00000A000000}"/>
    <hyperlink ref="B2" location="'HM - 3 AC 3 Crew'!A155" display="AMFOM" xr:uid="{00000000-0004-0000-0000-00000B000000}"/>
    <hyperlink ref="B5" location="'HM - Bahrain DRRS'!A155" display="AMFOM" xr:uid="{00000000-0004-0000-0000-00000C000000}"/>
    <hyperlink ref="A2" location="'HM - 3 AC 3 Crew'!A1" display="'HM - 3 AC 3 Crew'!A1" xr:uid="{00000000-0004-0000-0000-00000D000000}"/>
    <hyperlink ref="A5" location="'HM - Bahrain DRRS'!A1" display="'HM - Bahrain DRRS'!A1" xr:uid="{00000000-0004-0000-0000-00000E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workbookViewId="0">
      <selection activeCell="H1" sqref="H1:K1"/>
    </sheetView>
  </sheetViews>
  <sheetFormatPr defaultRowHeight="15" x14ac:dyDescent="0.25"/>
  <cols>
    <col min="1" max="1" width="59.85546875" style="521" bestFit="1" customWidth="1"/>
    <col min="2" max="3" width="19.140625" style="521" bestFit="1" customWidth="1"/>
    <col min="4" max="16384" width="9.140625" style="521"/>
  </cols>
  <sheetData>
    <row r="1" spans="1:11" ht="18.75" x14ac:dyDescent="0.3">
      <c r="A1" s="520" t="s">
        <v>272</v>
      </c>
      <c r="B1" s="520" t="s">
        <v>217</v>
      </c>
      <c r="C1" s="520" t="s">
        <v>221</v>
      </c>
      <c r="H1" s="408" t="s">
        <v>52</v>
      </c>
      <c r="J1" s="694">
        <v>44825</v>
      </c>
      <c r="K1" s="694"/>
    </row>
    <row r="2" spans="1:11" x14ac:dyDescent="0.25">
      <c r="A2" s="522" t="s">
        <v>120</v>
      </c>
      <c r="B2" s="523">
        <f>(LARGE(_xlfn.UNIQUE(B3:B10),1)+LARGE(_xlfn.UNIQUE(B3:B10),2)+LARGE(_xlfn.UNIQUE(B3:B10),3))/3</f>
        <v>0.72701314629565739</v>
      </c>
      <c r="C2" s="523">
        <f>(LARGE(_xlfn.UNIQUE(C3:C10),1)+LARGE(_xlfn.UNIQUE(C3:C10),2)+LARGE(_xlfn.UNIQUE(C3:C10),3))/3</f>
        <v>0.72701314629565739</v>
      </c>
    </row>
    <row r="3" spans="1:11" x14ac:dyDescent="0.25">
      <c r="A3" s="522" t="s">
        <v>125</v>
      </c>
      <c r="B3" s="524">
        <v>0.46909853972634252</v>
      </c>
      <c r="C3" s="524">
        <v>0.46909853972634252</v>
      </c>
    </row>
    <row r="4" spans="1:11" x14ac:dyDescent="0.25">
      <c r="A4" s="522" t="s">
        <v>126</v>
      </c>
      <c r="B4" s="524">
        <v>0.45771530412786032</v>
      </c>
      <c r="C4" s="524">
        <v>0.45771530412786032</v>
      </c>
    </row>
    <row r="5" spans="1:11" x14ac:dyDescent="0.25">
      <c r="A5" s="522" t="s">
        <v>127</v>
      </c>
      <c r="B5" s="524">
        <v>0.58482810164424515</v>
      </c>
      <c r="C5" s="524">
        <v>0.58482810164424515</v>
      </c>
    </row>
    <row r="6" spans="1:11" x14ac:dyDescent="0.25">
      <c r="A6" s="525" t="s">
        <v>128</v>
      </c>
      <c r="B6" s="524">
        <v>0</v>
      </c>
      <c r="C6" s="524">
        <v>0</v>
      </c>
    </row>
    <row r="7" spans="1:11" x14ac:dyDescent="0.25">
      <c r="A7" s="522" t="s">
        <v>129</v>
      </c>
      <c r="B7" s="524">
        <v>0</v>
      </c>
      <c r="C7" s="524">
        <v>0</v>
      </c>
    </row>
    <row r="8" spans="1:11" x14ac:dyDescent="0.25">
      <c r="A8" s="522" t="s">
        <v>130</v>
      </c>
      <c r="B8" s="524">
        <v>0.46941474071518929</v>
      </c>
      <c r="C8" s="524">
        <v>0.46941474071518929</v>
      </c>
    </row>
    <row r="9" spans="1:11" x14ac:dyDescent="0.25">
      <c r="A9" s="522" t="s">
        <v>131</v>
      </c>
      <c r="B9" s="524">
        <v>0.59621133724272746</v>
      </c>
      <c r="C9" s="524">
        <v>0.59621133724272746</v>
      </c>
    </row>
    <row r="10" spans="1:11" x14ac:dyDescent="0.25">
      <c r="A10" s="522" t="s">
        <v>132</v>
      </c>
      <c r="B10" s="524">
        <v>1</v>
      </c>
      <c r="C10" s="524">
        <v>1</v>
      </c>
    </row>
    <row r="17" spans="1:1" ht="15.75" x14ac:dyDescent="0.25">
      <c r="A17" s="520" t="s">
        <v>273</v>
      </c>
    </row>
    <row r="18" spans="1:1" x14ac:dyDescent="0.25">
      <c r="A18" s="526" t="s">
        <v>217</v>
      </c>
    </row>
    <row r="19" spans="1:1" x14ac:dyDescent="0.25">
      <c r="A19" s="526" t="s">
        <v>221</v>
      </c>
    </row>
  </sheetData>
  <mergeCells count="1">
    <mergeCell ref="J1:K1"/>
  </mergeCells>
  <conditionalFormatting sqref="B3:C10">
    <cfRule type="cellIs" dxfId="1" priority="1" operator="between">
      <formula>0.9</formula>
      <formula>0.99</formula>
    </cfRule>
  </conditionalFormatting>
  <hyperlinks>
    <hyperlink ref="H1" location="Inventory!A1" display="Inventory"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9"/>
  <sheetViews>
    <sheetView showGridLines="0" workbookViewId="0">
      <selection activeCell="H1" sqref="H1"/>
    </sheetView>
  </sheetViews>
  <sheetFormatPr defaultRowHeight="15" x14ac:dyDescent="0.25"/>
  <cols>
    <col min="1" max="1" width="61.5703125" style="537" bestFit="1" customWidth="1"/>
    <col min="2" max="2" width="17.140625" style="537" customWidth="1"/>
    <col min="3" max="3" width="19.140625" style="537" bestFit="1" customWidth="1"/>
    <col min="4" max="16384" width="9.140625" style="537"/>
  </cols>
  <sheetData>
    <row r="1" spans="1:11" ht="18.75" x14ac:dyDescent="0.3">
      <c r="A1" s="536" t="s">
        <v>272</v>
      </c>
      <c r="B1" s="536" t="str">
        <f>A18</f>
        <v>HM 3PAA v221025</v>
      </c>
      <c r="C1" s="536" t="str">
        <f>A19</f>
        <v>HM 4PAA v221025</v>
      </c>
      <c r="H1" s="408" t="s">
        <v>52</v>
      </c>
      <c r="I1" s="521"/>
      <c r="J1" s="694">
        <v>44859</v>
      </c>
      <c r="K1" s="694"/>
    </row>
    <row r="2" spans="1:11" x14ac:dyDescent="0.25">
      <c r="A2" s="167" t="s">
        <v>193</v>
      </c>
      <c r="B2" s="542">
        <f>(LARGE(_xlfn.UNIQUE(B3:B10),1)+LARGE(_xlfn.UNIQUE(B3:B10),2)+LARGE(_xlfn.UNIQUE(B3:B10),3))/3</f>
        <v>0.47562377831436131</v>
      </c>
      <c r="C2" s="542">
        <f>(LARGE(_xlfn.UNIQUE(C3:C10),1)+LARGE(_xlfn.UNIQUE(C3:C10),2)+LARGE(_xlfn.UNIQUE(C3:C10),3))/3</f>
        <v>0.47562377831436131</v>
      </c>
    </row>
    <row r="3" spans="1:11" x14ac:dyDescent="0.25">
      <c r="A3" s="538" t="s">
        <v>125</v>
      </c>
      <c r="B3" s="539">
        <v>0.1843451764976429</v>
      </c>
      <c r="C3" s="539">
        <v>0.1843451764976429</v>
      </c>
    </row>
    <row r="4" spans="1:11" x14ac:dyDescent="0.25">
      <c r="A4" s="538" t="s">
        <v>126</v>
      </c>
      <c r="B4" s="539">
        <v>0.17296194089916064</v>
      </c>
      <c r="C4" s="539">
        <v>0.17296194089916064</v>
      </c>
    </row>
    <row r="5" spans="1:11" x14ac:dyDescent="0.25">
      <c r="A5" s="538" t="s">
        <v>127</v>
      </c>
      <c r="B5" s="539">
        <v>0.20774404967230081</v>
      </c>
      <c r="C5" s="539">
        <v>0.20774404967230081</v>
      </c>
    </row>
    <row r="6" spans="1:11" x14ac:dyDescent="0.25">
      <c r="A6" s="540" t="s">
        <v>128</v>
      </c>
      <c r="B6" s="539">
        <v>0</v>
      </c>
      <c r="C6" s="539">
        <v>0</v>
      </c>
    </row>
    <row r="7" spans="1:11" x14ac:dyDescent="0.25">
      <c r="A7" s="538" t="s">
        <v>129</v>
      </c>
      <c r="B7" s="539">
        <v>0</v>
      </c>
      <c r="C7" s="539">
        <v>0</v>
      </c>
    </row>
    <row r="8" spans="1:11" x14ac:dyDescent="0.25">
      <c r="A8" s="538" t="s">
        <v>130</v>
      </c>
      <c r="B8" s="539">
        <v>0.18466137748648961</v>
      </c>
      <c r="C8" s="539">
        <v>0.18466137748648959</v>
      </c>
    </row>
    <row r="9" spans="1:11" x14ac:dyDescent="0.25">
      <c r="A9" s="538" t="s">
        <v>131</v>
      </c>
      <c r="B9" s="539">
        <v>0.21912728527078304</v>
      </c>
      <c r="C9" s="539">
        <v>0.21912728527078304</v>
      </c>
    </row>
    <row r="10" spans="1:11" x14ac:dyDescent="0.25">
      <c r="A10" s="538" t="s">
        <v>132</v>
      </c>
      <c r="B10" s="539">
        <v>1</v>
      </c>
      <c r="C10" s="539">
        <v>1</v>
      </c>
    </row>
    <row r="17" spans="1:1" ht="15.75" x14ac:dyDescent="0.25">
      <c r="A17" s="536" t="s">
        <v>273</v>
      </c>
    </row>
    <row r="18" spans="1:1" x14ac:dyDescent="0.25">
      <c r="A18" s="541" t="s">
        <v>192</v>
      </c>
    </row>
    <row r="19" spans="1:1" x14ac:dyDescent="0.25">
      <c r="A19" s="541" t="s">
        <v>196</v>
      </c>
    </row>
  </sheetData>
  <mergeCells count="1">
    <mergeCell ref="J1:K1"/>
  </mergeCells>
  <conditionalFormatting sqref="B3:C10">
    <cfRule type="cellIs" dxfId="0" priority="1" operator="between">
      <formula>0.9</formula>
      <formula>0.99</formula>
    </cfRule>
  </conditionalFormatting>
  <hyperlinks>
    <hyperlink ref="H1" location="Inventory!A1" display="Inventory"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Q106"/>
  <sheetViews>
    <sheetView showGridLines="0" zoomScaleNormal="100" workbookViewId="0">
      <selection activeCell="A2" sqref="A2"/>
    </sheetView>
  </sheetViews>
  <sheetFormatPr defaultRowHeight="12.75" x14ac:dyDescent="0.2"/>
  <cols>
    <col min="1" max="1" width="14.85546875" style="429" bestFit="1" customWidth="1"/>
    <col min="2" max="2" width="19.28515625" style="429" customWidth="1"/>
    <col min="3" max="3" width="39.5703125" style="105" customWidth="1"/>
    <col min="4" max="4" width="60.42578125" style="115" bestFit="1" customWidth="1"/>
    <col min="5" max="5" width="13.7109375" style="115" bestFit="1" customWidth="1"/>
    <col min="6" max="6" width="7.42578125" style="115" customWidth="1"/>
    <col min="7" max="7" width="14.5703125" style="115" customWidth="1"/>
    <col min="8" max="16384" width="9.140625" style="105"/>
  </cols>
  <sheetData>
    <row r="1" spans="1:17" s="402" customFormat="1" ht="18.75" x14ac:dyDescent="0.3">
      <c r="A1" s="401" t="s">
        <v>274</v>
      </c>
      <c r="C1" s="403"/>
      <c r="D1" s="404" t="s">
        <v>275</v>
      </c>
      <c r="E1" s="405">
        <v>41771</v>
      </c>
      <c r="F1" s="406"/>
      <c r="G1" s="406"/>
      <c r="H1" s="407"/>
    </row>
    <row r="2" spans="1:17" s="301" customFormat="1" ht="15" x14ac:dyDescent="0.25">
      <c r="A2" s="408" t="s">
        <v>52</v>
      </c>
      <c r="D2" s="409"/>
      <c r="E2" s="409"/>
      <c r="F2" s="409"/>
      <c r="G2" s="409"/>
      <c r="H2" s="409"/>
    </row>
    <row r="3" spans="1:17" s="301" customFormat="1" x14ac:dyDescent="0.2">
      <c r="A3" s="449" t="s">
        <v>276</v>
      </c>
      <c r="B3" s="448">
        <v>42826</v>
      </c>
      <c r="C3" s="409"/>
      <c r="D3" s="409"/>
      <c r="E3" s="409"/>
      <c r="F3" s="409"/>
      <c r="G3" s="409"/>
      <c r="H3" s="409"/>
    </row>
    <row r="4" spans="1:17" s="301" customFormat="1" x14ac:dyDescent="0.2">
      <c r="A4" s="410"/>
      <c r="B4" s="410"/>
      <c r="C4" s="409"/>
      <c r="D4" s="409"/>
      <c r="E4" s="409"/>
      <c r="F4" s="409"/>
      <c r="G4" s="409"/>
      <c r="H4" s="409"/>
    </row>
    <row r="5" spans="1:17" ht="13.5" thickBot="1" x14ac:dyDescent="0.25">
      <c r="A5" s="411"/>
      <c r="B5" s="411"/>
      <c r="C5" s="115"/>
    </row>
    <row r="6" spans="1:17" ht="21.75" thickBot="1" x14ac:dyDescent="0.25">
      <c r="A6" s="412"/>
      <c r="B6" s="412"/>
      <c r="C6" s="699" t="s">
        <v>277</v>
      </c>
      <c r="D6" s="700"/>
    </row>
    <row r="7" spans="1:17" s="108" customFormat="1" ht="15.75" thickBot="1" x14ac:dyDescent="0.3">
      <c r="A7" s="430" t="s">
        <v>278</v>
      </c>
      <c r="B7" s="431" t="s">
        <v>279</v>
      </c>
      <c r="C7" s="432" t="s">
        <v>280</v>
      </c>
      <c r="D7" s="433" t="s">
        <v>281</v>
      </c>
      <c r="E7" s="413"/>
      <c r="F7" s="413"/>
      <c r="G7" s="413"/>
    </row>
    <row r="8" spans="1:17" ht="15" x14ac:dyDescent="0.2">
      <c r="A8" s="701" t="s">
        <v>282</v>
      </c>
      <c r="B8" s="701" t="s">
        <v>227</v>
      </c>
      <c r="C8" s="703" t="s">
        <v>239</v>
      </c>
      <c r="D8" s="434" t="s">
        <v>283</v>
      </c>
      <c r="G8" s="414"/>
      <c r="H8" s="429"/>
    </row>
    <row r="9" spans="1:17" ht="15" x14ac:dyDescent="0.2">
      <c r="A9" s="701"/>
      <c r="B9" s="701"/>
      <c r="C9" s="701"/>
      <c r="D9" s="435" t="s">
        <v>284</v>
      </c>
      <c r="G9" s="414"/>
      <c r="H9" s="447"/>
    </row>
    <row r="10" spans="1:17" ht="15" x14ac:dyDescent="0.2">
      <c r="A10" s="701"/>
      <c r="B10" s="701"/>
      <c r="C10" s="701"/>
      <c r="D10" s="435" t="s">
        <v>285</v>
      </c>
      <c r="G10" s="414"/>
      <c r="H10" s="447"/>
    </row>
    <row r="11" spans="1:17" ht="15" x14ac:dyDescent="0.2">
      <c r="A11" s="701"/>
      <c r="B11" s="701"/>
      <c r="C11" s="701"/>
      <c r="D11" s="436" t="s">
        <v>286</v>
      </c>
      <c r="G11" s="414"/>
      <c r="H11" s="447"/>
    </row>
    <row r="12" spans="1:17" ht="15" x14ac:dyDescent="0.2">
      <c r="A12" s="701"/>
      <c r="B12" s="701"/>
      <c r="C12" s="701"/>
      <c r="D12" s="436" t="s">
        <v>287</v>
      </c>
      <c r="G12" s="414"/>
      <c r="H12" s="210"/>
    </row>
    <row r="13" spans="1:17" ht="15.75" thickBot="1" x14ac:dyDescent="0.25">
      <c r="A13" s="701"/>
      <c r="B13" s="701"/>
      <c r="C13" s="702"/>
      <c r="D13" s="437" t="s">
        <v>288</v>
      </c>
      <c r="G13" s="414"/>
      <c r="H13" s="447"/>
    </row>
    <row r="14" spans="1:17" ht="15" x14ac:dyDescent="0.2">
      <c r="A14" s="701"/>
      <c r="B14" s="701"/>
      <c r="C14" s="703" t="s">
        <v>240</v>
      </c>
      <c r="D14" s="438" t="s">
        <v>289</v>
      </c>
      <c r="G14" s="414"/>
      <c r="H14" s="447"/>
    </row>
    <row r="15" spans="1:17" ht="15" x14ac:dyDescent="0.2">
      <c r="A15" s="701"/>
      <c r="B15" s="701"/>
      <c r="C15" s="701"/>
      <c r="D15" s="439" t="s">
        <v>290</v>
      </c>
      <c r="G15" s="414"/>
      <c r="H15" s="447"/>
      <c r="O15" s="414"/>
    </row>
    <row r="16" spans="1:17" ht="15" x14ac:dyDescent="0.2">
      <c r="A16" s="701"/>
      <c r="B16" s="701"/>
      <c r="C16" s="701"/>
      <c r="D16" s="439" t="s">
        <v>291</v>
      </c>
      <c r="G16" s="414"/>
      <c r="H16" s="429"/>
      <c r="Q16" s="414"/>
    </row>
    <row r="17" spans="1:17" ht="15" x14ac:dyDescent="0.2">
      <c r="A17" s="701"/>
      <c r="B17" s="701"/>
      <c r="C17" s="701"/>
      <c r="D17" s="439" t="s">
        <v>292</v>
      </c>
      <c r="G17" s="414"/>
      <c r="P17" s="414"/>
    </row>
    <row r="18" spans="1:17" ht="15" x14ac:dyDescent="0.2">
      <c r="A18" s="701"/>
      <c r="B18" s="701"/>
      <c r="C18" s="701"/>
      <c r="D18" s="439" t="s">
        <v>293</v>
      </c>
      <c r="G18" s="414"/>
      <c r="O18" s="414"/>
    </row>
    <row r="19" spans="1:17" ht="15" x14ac:dyDescent="0.2">
      <c r="A19" s="701"/>
      <c r="B19" s="701"/>
      <c r="C19" s="701"/>
      <c r="D19" s="439" t="s">
        <v>294</v>
      </c>
      <c r="G19" s="414"/>
    </row>
    <row r="20" spans="1:17" ht="15" x14ac:dyDescent="0.2">
      <c r="A20" s="701"/>
      <c r="B20" s="701"/>
      <c r="C20" s="701"/>
      <c r="D20" s="439" t="s">
        <v>295</v>
      </c>
      <c r="G20" s="414"/>
      <c r="Q20" s="414"/>
    </row>
    <row r="21" spans="1:17" ht="15" x14ac:dyDescent="0.2">
      <c r="A21" s="701"/>
      <c r="B21" s="701"/>
      <c r="C21" s="701"/>
      <c r="D21" s="439" t="s">
        <v>296</v>
      </c>
      <c r="G21" s="414"/>
      <c r="L21" s="414"/>
    </row>
    <row r="22" spans="1:17" ht="15" x14ac:dyDescent="0.2">
      <c r="A22" s="701"/>
      <c r="B22" s="701"/>
      <c r="C22" s="701"/>
      <c r="D22" s="439" t="s">
        <v>297</v>
      </c>
      <c r="G22" s="414"/>
    </row>
    <row r="23" spans="1:17" ht="15" x14ac:dyDescent="0.2">
      <c r="A23" s="701"/>
      <c r="B23" s="701"/>
      <c r="C23" s="701"/>
      <c r="D23" s="439" t="s">
        <v>298</v>
      </c>
      <c r="G23" s="414"/>
    </row>
    <row r="24" spans="1:17" ht="15" x14ac:dyDescent="0.2">
      <c r="A24" s="701"/>
      <c r="B24" s="701"/>
      <c r="C24" s="701"/>
      <c r="D24" s="439" t="s">
        <v>299</v>
      </c>
      <c r="G24" s="414"/>
      <c r="M24" s="414"/>
    </row>
    <row r="25" spans="1:17" ht="15" x14ac:dyDescent="0.2">
      <c r="A25" s="701"/>
      <c r="B25" s="701"/>
      <c r="C25" s="701"/>
      <c r="D25" s="439" t="s">
        <v>300</v>
      </c>
      <c r="G25" s="414"/>
      <c r="M25" s="414"/>
    </row>
    <row r="26" spans="1:17" ht="15" x14ac:dyDescent="0.2">
      <c r="A26" s="701"/>
      <c r="B26" s="701"/>
      <c r="C26" s="701"/>
      <c r="D26" s="439" t="s">
        <v>301</v>
      </c>
      <c r="G26" s="414"/>
      <c r="L26" s="414"/>
    </row>
    <row r="27" spans="1:17" ht="15" x14ac:dyDescent="0.2">
      <c r="A27" s="701"/>
      <c r="B27" s="701"/>
      <c r="C27" s="701"/>
      <c r="D27" s="439" t="s">
        <v>302</v>
      </c>
      <c r="G27" s="415"/>
      <c r="L27" s="416"/>
    </row>
    <row r="28" spans="1:17" ht="15.75" thickBot="1" x14ac:dyDescent="0.25">
      <c r="A28" s="701"/>
      <c r="B28" s="701"/>
      <c r="C28" s="701"/>
      <c r="D28" s="439" t="s">
        <v>303</v>
      </c>
      <c r="G28" s="414"/>
    </row>
    <row r="29" spans="1:17" ht="15" x14ac:dyDescent="0.2">
      <c r="A29" s="701"/>
      <c r="B29" s="701"/>
      <c r="C29" s="703" t="s">
        <v>241</v>
      </c>
      <c r="D29" s="434" t="s">
        <v>304</v>
      </c>
      <c r="G29" s="414"/>
      <c r="I29" s="414"/>
      <c r="J29" s="414"/>
      <c r="K29" s="414"/>
      <c r="L29" s="414"/>
      <c r="M29" s="414"/>
      <c r="O29" s="417"/>
    </row>
    <row r="30" spans="1:17" ht="15" x14ac:dyDescent="0.2">
      <c r="A30" s="701"/>
      <c r="B30" s="701"/>
      <c r="C30" s="701"/>
      <c r="D30" s="435" t="s">
        <v>305</v>
      </c>
      <c r="G30" s="414"/>
      <c r="I30" s="414"/>
      <c r="J30" s="414"/>
      <c r="K30" s="414"/>
      <c r="L30" s="414"/>
      <c r="M30" s="414"/>
    </row>
    <row r="31" spans="1:17" ht="15" x14ac:dyDescent="0.2">
      <c r="A31" s="701"/>
      <c r="B31" s="701"/>
      <c r="C31" s="701"/>
      <c r="D31" s="435" t="s">
        <v>306</v>
      </c>
      <c r="G31" s="414"/>
      <c r="I31" s="414"/>
      <c r="J31" s="414"/>
      <c r="K31" s="414"/>
      <c r="L31" s="414"/>
      <c r="M31" s="414"/>
    </row>
    <row r="32" spans="1:17" ht="15" x14ac:dyDescent="0.2">
      <c r="A32" s="701"/>
      <c r="B32" s="701"/>
      <c r="C32" s="701"/>
      <c r="D32" s="435" t="s">
        <v>307</v>
      </c>
      <c r="G32" s="414"/>
      <c r="I32" s="414"/>
      <c r="J32" s="414"/>
      <c r="K32" s="414"/>
      <c r="L32" s="414"/>
      <c r="M32" s="414"/>
    </row>
    <row r="33" spans="1:17" ht="15" x14ac:dyDescent="0.2">
      <c r="A33" s="701"/>
      <c r="B33" s="701"/>
      <c r="C33" s="701"/>
      <c r="D33" s="435" t="s">
        <v>308</v>
      </c>
      <c r="G33" s="414"/>
      <c r="H33" s="414"/>
      <c r="I33" s="414"/>
      <c r="J33" s="414"/>
      <c r="K33" s="414"/>
      <c r="L33" s="414"/>
      <c r="M33" s="414"/>
    </row>
    <row r="34" spans="1:17" ht="15.75" thickBot="1" x14ac:dyDescent="0.25">
      <c r="A34" s="701"/>
      <c r="B34" s="701"/>
      <c r="C34" s="701"/>
      <c r="D34" s="437" t="s">
        <v>309</v>
      </c>
      <c r="G34" s="414"/>
      <c r="H34" s="414"/>
      <c r="I34" s="414"/>
      <c r="J34" s="414"/>
      <c r="K34" s="414"/>
      <c r="L34" s="414"/>
      <c r="M34" s="414"/>
    </row>
    <row r="35" spans="1:17" ht="15" x14ac:dyDescent="0.2">
      <c r="A35" s="701"/>
      <c r="B35" s="701"/>
      <c r="C35" s="703" t="s">
        <v>242</v>
      </c>
      <c r="D35" s="440" t="s">
        <v>310</v>
      </c>
      <c r="G35" s="414"/>
      <c r="I35" s="414"/>
      <c r="J35" s="414"/>
      <c r="K35" s="414"/>
      <c r="L35" s="414"/>
      <c r="M35" s="414"/>
      <c r="N35" s="414"/>
      <c r="O35" s="414"/>
    </row>
    <row r="36" spans="1:17" ht="15" x14ac:dyDescent="0.2">
      <c r="A36" s="701"/>
      <c r="B36" s="701"/>
      <c r="C36" s="701"/>
      <c r="D36" s="425" t="s">
        <v>311</v>
      </c>
      <c r="G36" s="414"/>
      <c r="I36" s="414"/>
      <c r="J36" s="414"/>
      <c r="K36" s="414"/>
      <c r="L36" s="414"/>
      <c r="M36" s="414"/>
      <c r="N36" s="414"/>
      <c r="O36" s="414"/>
    </row>
    <row r="37" spans="1:17" ht="15" x14ac:dyDescent="0.2">
      <c r="A37" s="701"/>
      <c r="B37" s="701"/>
      <c r="C37" s="701"/>
      <c r="D37" s="425" t="s">
        <v>312</v>
      </c>
      <c r="G37" s="414"/>
      <c r="I37" s="414"/>
      <c r="J37" s="414"/>
      <c r="K37" s="414"/>
      <c r="L37" s="414"/>
      <c r="M37" s="414"/>
      <c r="N37" s="414"/>
      <c r="O37" s="414"/>
      <c r="P37" s="417"/>
    </row>
    <row r="38" spans="1:17" ht="15" x14ac:dyDescent="0.2">
      <c r="A38" s="701"/>
      <c r="B38" s="701"/>
      <c r="C38" s="701"/>
      <c r="D38" s="435" t="s">
        <v>313</v>
      </c>
      <c r="G38" s="414"/>
      <c r="H38" s="414"/>
      <c r="I38" s="414"/>
      <c r="J38" s="414"/>
      <c r="K38" s="414"/>
      <c r="L38" s="414"/>
      <c r="M38" s="414"/>
      <c r="N38" s="414"/>
      <c r="O38" s="414"/>
      <c r="P38" s="417"/>
    </row>
    <row r="39" spans="1:17" ht="15" x14ac:dyDescent="0.2">
      <c r="A39" s="701"/>
      <c r="B39" s="701"/>
      <c r="C39" s="701"/>
      <c r="D39" s="435" t="s">
        <v>314</v>
      </c>
      <c r="G39" s="414"/>
      <c r="I39" s="414"/>
      <c r="J39" s="414"/>
      <c r="K39" s="414"/>
      <c r="L39" s="414"/>
      <c r="M39" s="414"/>
      <c r="N39" s="414"/>
      <c r="O39" s="414"/>
      <c r="Q39" s="417" t="s">
        <v>315</v>
      </c>
    </row>
    <row r="40" spans="1:17" ht="15" x14ac:dyDescent="0.2">
      <c r="A40" s="701"/>
      <c r="B40" s="701"/>
      <c r="C40" s="701"/>
      <c r="D40" s="435" t="s">
        <v>316</v>
      </c>
      <c r="G40" s="414"/>
      <c r="I40" s="414"/>
      <c r="J40" s="414"/>
      <c r="K40" s="414"/>
      <c r="L40" s="414"/>
      <c r="M40" s="414"/>
      <c r="N40" s="414"/>
      <c r="O40" s="414"/>
    </row>
    <row r="41" spans="1:17" ht="15.75" thickBot="1" x14ac:dyDescent="0.25">
      <c r="A41" s="701"/>
      <c r="B41" s="701"/>
      <c r="C41" s="702"/>
      <c r="D41" s="436" t="s">
        <v>317</v>
      </c>
      <c r="G41" s="414"/>
      <c r="H41" s="414"/>
      <c r="I41" s="414"/>
      <c r="J41" s="414"/>
      <c r="K41" s="414"/>
      <c r="L41" s="414"/>
      <c r="M41" s="414"/>
      <c r="N41" s="414"/>
      <c r="O41" s="414"/>
    </row>
    <row r="42" spans="1:17" ht="63" customHeight="1" thickBot="1" x14ac:dyDescent="0.25">
      <c r="A42" s="701"/>
      <c r="B42" s="701"/>
      <c r="C42" s="441" t="s">
        <v>243</v>
      </c>
      <c r="D42" s="442" t="s">
        <v>318</v>
      </c>
      <c r="G42" s="414"/>
      <c r="H42" s="414"/>
      <c r="I42" s="414"/>
      <c r="J42" s="414"/>
      <c r="K42" s="414"/>
      <c r="L42" s="414"/>
      <c r="M42" s="414"/>
      <c r="N42" s="414"/>
      <c r="O42" s="414"/>
    </row>
    <row r="43" spans="1:17" ht="15" x14ac:dyDescent="0.2">
      <c r="A43" s="701"/>
      <c r="B43" s="701"/>
      <c r="C43" s="703" t="s">
        <v>244</v>
      </c>
      <c r="D43" s="434" t="s">
        <v>319</v>
      </c>
      <c r="G43" s="414"/>
    </row>
    <row r="44" spans="1:17" ht="15" x14ac:dyDescent="0.2">
      <c r="A44" s="701"/>
      <c r="B44" s="701"/>
      <c r="C44" s="701"/>
      <c r="D44" s="435" t="s">
        <v>320</v>
      </c>
      <c r="G44" s="414"/>
    </row>
    <row r="45" spans="1:17" ht="15" x14ac:dyDescent="0.2">
      <c r="A45" s="701"/>
      <c r="B45" s="701"/>
      <c r="C45" s="701"/>
      <c r="D45" s="443" t="s">
        <v>321</v>
      </c>
      <c r="G45" s="414"/>
      <c r="M45" s="414"/>
    </row>
    <row r="46" spans="1:17" ht="15" x14ac:dyDescent="0.2">
      <c r="A46" s="701"/>
      <c r="B46" s="701"/>
      <c r="C46" s="701"/>
      <c r="D46" s="435" t="s">
        <v>322</v>
      </c>
      <c r="G46" s="414"/>
    </row>
    <row r="47" spans="1:17" ht="15" x14ac:dyDescent="0.2">
      <c r="A47" s="701"/>
      <c r="B47" s="701"/>
      <c r="C47" s="701"/>
      <c r="D47" s="435" t="s">
        <v>323</v>
      </c>
      <c r="G47" s="414"/>
      <c r="M47" s="414"/>
    </row>
    <row r="48" spans="1:17" ht="15" x14ac:dyDescent="0.2">
      <c r="A48" s="701"/>
      <c r="B48" s="701"/>
      <c r="C48" s="701"/>
      <c r="D48" s="435" t="s">
        <v>324</v>
      </c>
      <c r="G48" s="414"/>
      <c r="O48" s="414"/>
    </row>
    <row r="49" spans="1:17" ht="15" x14ac:dyDescent="0.2">
      <c r="A49" s="701"/>
      <c r="B49" s="701"/>
      <c r="C49" s="701"/>
      <c r="D49" s="435" t="s">
        <v>325</v>
      </c>
      <c r="G49" s="414"/>
      <c r="P49" s="414"/>
    </row>
    <row r="50" spans="1:17" ht="15" x14ac:dyDescent="0.2">
      <c r="A50" s="701"/>
      <c r="B50" s="701"/>
      <c r="C50" s="701"/>
      <c r="D50" s="435" t="s">
        <v>326</v>
      </c>
      <c r="G50" s="414"/>
      <c r="M50" s="414"/>
    </row>
    <row r="51" spans="1:17" ht="15" x14ac:dyDescent="0.2">
      <c r="A51" s="701"/>
      <c r="B51" s="701"/>
      <c r="C51" s="701"/>
      <c r="D51" s="435" t="s">
        <v>327</v>
      </c>
      <c r="G51" s="414"/>
    </row>
    <row r="52" spans="1:17" ht="15" x14ac:dyDescent="0.2">
      <c r="A52" s="701"/>
      <c r="B52" s="701"/>
      <c r="C52" s="701"/>
      <c r="D52" s="435" t="s">
        <v>328</v>
      </c>
      <c r="G52" s="414"/>
    </row>
    <row r="53" spans="1:17" ht="15" x14ac:dyDescent="0.2">
      <c r="A53" s="701"/>
      <c r="B53" s="701"/>
      <c r="C53" s="701"/>
      <c r="D53" s="435" t="s">
        <v>329</v>
      </c>
      <c r="G53" s="414"/>
      <c r="N53" s="414"/>
    </row>
    <row r="54" spans="1:17" ht="15" x14ac:dyDescent="0.2">
      <c r="A54" s="701"/>
      <c r="B54" s="701"/>
      <c r="C54" s="701"/>
      <c r="D54" s="443" t="s">
        <v>330</v>
      </c>
      <c r="G54" s="414"/>
    </row>
    <row r="55" spans="1:17" ht="15" x14ac:dyDescent="0.2">
      <c r="A55" s="701"/>
      <c r="B55" s="701"/>
      <c r="C55" s="701"/>
      <c r="D55" s="435" t="s">
        <v>331</v>
      </c>
      <c r="G55" s="414"/>
      <c r="N55" s="414"/>
    </row>
    <row r="56" spans="1:17" ht="15" x14ac:dyDescent="0.2">
      <c r="A56" s="701"/>
      <c r="B56" s="701"/>
      <c r="C56" s="701"/>
      <c r="D56" s="435" t="s">
        <v>332</v>
      </c>
      <c r="F56" s="418"/>
      <c r="G56" s="414"/>
    </row>
    <row r="57" spans="1:17" ht="15" x14ac:dyDescent="0.2">
      <c r="A57" s="701"/>
      <c r="B57" s="701"/>
      <c r="C57" s="701"/>
      <c r="D57" s="435" t="s">
        <v>333</v>
      </c>
      <c r="F57" s="418"/>
      <c r="G57" s="414"/>
      <c r="N57" s="414"/>
    </row>
    <row r="58" spans="1:17" ht="15" x14ac:dyDescent="0.2">
      <c r="A58" s="701"/>
      <c r="B58" s="701"/>
      <c r="C58" s="701"/>
      <c r="D58" s="435" t="s">
        <v>334</v>
      </c>
      <c r="F58" s="658"/>
      <c r="G58" s="414"/>
      <c r="Q58" s="414"/>
    </row>
    <row r="59" spans="1:17" ht="15" x14ac:dyDescent="0.2">
      <c r="A59" s="701"/>
      <c r="B59" s="701"/>
      <c r="C59" s="701"/>
      <c r="D59" s="435" t="s">
        <v>335</v>
      </c>
      <c r="E59" s="704"/>
      <c r="F59" s="419"/>
      <c r="G59" s="414"/>
    </row>
    <row r="60" spans="1:17" ht="15" x14ac:dyDescent="0.2">
      <c r="A60" s="701"/>
      <c r="B60" s="701"/>
      <c r="C60" s="701"/>
      <c r="D60" s="435" t="s">
        <v>336</v>
      </c>
      <c r="E60" s="704"/>
      <c r="F60" s="419"/>
      <c r="G60" s="414"/>
      <c r="M60" s="414"/>
    </row>
    <row r="61" spans="1:17" ht="15" x14ac:dyDescent="0.2">
      <c r="A61" s="701"/>
      <c r="B61" s="701"/>
      <c r="C61" s="701"/>
      <c r="D61" s="435" t="s">
        <v>337</v>
      </c>
      <c r="E61" s="704"/>
      <c r="F61" s="419"/>
      <c r="G61" s="414"/>
      <c r="N61" s="414"/>
    </row>
    <row r="62" spans="1:17" ht="15" x14ac:dyDescent="0.2">
      <c r="A62" s="701"/>
      <c r="B62" s="701"/>
      <c r="C62" s="701"/>
      <c r="D62" s="435" t="s">
        <v>338</v>
      </c>
      <c r="E62" s="704"/>
      <c r="F62" s="419"/>
      <c r="G62" s="414"/>
      <c r="N62" s="414"/>
    </row>
    <row r="63" spans="1:17" ht="15" x14ac:dyDescent="0.2">
      <c r="A63" s="701"/>
      <c r="B63" s="701"/>
      <c r="C63" s="701"/>
      <c r="D63" s="435" t="s">
        <v>339</v>
      </c>
      <c r="E63" s="704"/>
      <c r="F63" s="419"/>
      <c r="G63" s="414"/>
    </row>
    <row r="64" spans="1:17" ht="15.75" thickBot="1" x14ac:dyDescent="0.25">
      <c r="A64" s="701"/>
      <c r="B64" s="701"/>
      <c r="C64" s="702"/>
      <c r="D64" s="437" t="s">
        <v>340</v>
      </c>
      <c r="E64" s="704"/>
      <c r="F64" s="419"/>
      <c r="G64" s="414"/>
    </row>
    <row r="65" spans="1:15" ht="15" x14ac:dyDescent="0.2">
      <c r="A65" s="701"/>
      <c r="B65" s="701"/>
      <c r="C65" s="703" t="s">
        <v>245</v>
      </c>
      <c r="D65" s="434" t="s">
        <v>341</v>
      </c>
      <c r="E65" s="704"/>
      <c r="G65" s="414"/>
    </row>
    <row r="66" spans="1:15" ht="15" x14ac:dyDescent="0.2">
      <c r="A66" s="701"/>
      <c r="B66" s="701"/>
      <c r="C66" s="701"/>
      <c r="D66" s="435" t="s">
        <v>342</v>
      </c>
      <c r="E66" s="420"/>
      <c r="G66" s="414"/>
    </row>
    <row r="67" spans="1:15" ht="15" x14ac:dyDescent="0.2">
      <c r="A67" s="701"/>
      <c r="B67" s="701"/>
      <c r="C67" s="701"/>
      <c r="D67" s="435" t="s">
        <v>305</v>
      </c>
      <c r="G67" s="414"/>
    </row>
    <row r="68" spans="1:15" ht="15" x14ac:dyDescent="0.2">
      <c r="A68" s="701"/>
      <c r="B68" s="701"/>
      <c r="C68" s="701"/>
      <c r="D68" s="435" t="s">
        <v>343</v>
      </c>
      <c r="E68" s="420"/>
      <c r="G68" s="414"/>
    </row>
    <row r="69" spans="1:15" ht="15" x14ac:dyDescent="0.2">
      <c r="A69" s="701"/>
      <c r="B69" s="701"/>
      <c r="C69" s="701"/>
      <c r="D69" s="435" t="s">
        <v>306</v>
      </c>
      <c r="E69" s="420"/>
      <c r="G69" s="414"/>
    </row>
    <row r="70" spans="1:15" ht="15" x14ac:dyDescent="0.2">
      <c r="A70" s="701"/>
      <c r="B70" s="701"/>
      <c r="C70" s="701"/>
      <c r="D70" s="435" t="s">
        <v>344</v>
      </c>
      <c r="E70" s="420"/>
      <c r="G70" s="414"/>
    </row>
    <row r="71" spans="1:15" ht="15" x14ac:dyDescent="0.2">
      <c r="A71" s="701"/>
      <c r="B71" s="701"/>
      <c r="C71" s="701"/>
      <c r="D71" s="435" t="s">
        <v>345</v>
      </c>
      <c r="E71" s="420"/>
      <c r="G71" s="414"/>
    </row>
    <row r="72" spans="1:15" ht="15" x14ac:dyDescent="0.2">
      <c r="A72" s="701"/>
      <c r="B72" s="701"/>
      <c r="C72" s="701"/>
      <c r="D72" s="435" t="s">
        <v>346</v>
      </c>
      <c r="E72" s="420"/>
      <c r="G72" s="414"/>
    </row>
    <row r="73" spans="1:15" ht="15" x14ac:dyDescent="0.2">
      <c r="A73" s="701"/>
      <c r="B73" s="701"/>
      <c r="C73" s="701"/>
      <c r="D73" s="435" t="s">
        <v>347</v>
      </c>
      <c r="G73" s="414"/>
    </row>
    <row r="74" spans="1:15" ht="15" x14ac:dyDescent="0.2">
      <c r="A74" s="701"/>
      <c r="B74" s="701"/>
      <c r="C74" s="701"/>
      <c r="D74" s="435" t="s">
        <v>348</v>
      </c>
      <c r="G74" s="414"/>
    </row>
    <row r="75" spans="1:15" ht="15" x14ac:dyDescent="0.2">
      <c r="A75" s="701"/>
      <c r="B75" s="701"/>
      <c r="C75" s="701"/>
      <c r="D75" s="435" t="s">
        <v>349</v>
      </c>
      <c r="G75" s="414"/>
    </row>
    <row r="76" spans="1:15" ht="15" x14ac:dyDescent="0.2">
      <c r="A76" s="701"/>
      <c r="B76" s="701"/>
      <c r="C76" s="701"/>
      <c r="D76" s="435" t="s">
        <v>350</v>
      </c>
      <c r="G76" s="414"/>
      <c r="I76" s="414"/>
    </row>
    <row r="77" spans="1:15" ht="15" x14ac:dyDescent="0.2">
      <c r="A77" s="701"/>
      <c r="B77" s="701"/>
      <c r="C77" s="701"/>
      <c r="D77" s="435" t="s">
        <v>351</v>
      </c>
      <c r="G77" s="414"/>
    </row>
    <row r="78" spans="1:15" ht="15" x14ac:dyDescent="0.2">
      <c r="A78" s="701"/>
      <c r="B78" s="701"/>
      <c r="C78" s="701"/>
      <c r="D78" s="435" t="s">
        <v>352</v>
      </c>
      <c r="G78" s="414"/>
      <c r="O78" s="414"/>
    </row>
    <row r="79" spans="1:15" ht="15.75" thickBot="1" x14ac:dyDescent="0.25">
      <c r="A79" s="701"/>
      <c r="B79" s="701"/>
      <c r="C79" s="702"/>
      <c r="D79" s="436" t="s">
        <v>353</v>
      </c>
      <c r="G79" s="414"/>
    </row>
    <row r="80" spans="1:15" ht="15" x14ac:dyDescent="0.2">
      <c r="A80" s="701"/>
      <c r="B80" s="701"/>
      <c r="C80" s="703" t="s">
        <v>246</v>
      </c>
      <c r="D80" s="472" t="s">
        <v>354</v>
      </c>
      <c r="G80" s="414"/>
    </row>
    <row r="81" spans="1:7" ht="25.5" x14ac:dyDescent="0.2">
      <c r="A81" s="701"/>
      <c r="B81" s="701"/>
      <c r="C81" s="701"/>
      <c r="D81" s="473" t="s">
        <v>355</v>
      </c>
      <c r="G81" s="414"/>
    </row>
    <row r="82" spans="1:7" ht="15" x14ac:dyDescent="0.2">
      <c r="A82" s="701"/>
      <c r="B82" s="701"/>
      <c r="C82" s="701"/>
      <c r="D82" s="473" t="s">
        <v>356</v>
      </c>
      <c r="G82" s="414"/>
    </row>
    <row r="83" spans="1:7" ht="15" x14ac:dyDescent="0.2">
      <c r="A83" s="701"/>
      <c r="B83" s="701"/>
      <c r="C83" s="701"/>
      <c r="D83" s="473" t="s">
        <v>357</v>
      </c>
      <c r="G83" s="414"/>
    </row>
    <row r="84" spans="1:7" ht="15" x14ac:dyDescent="0.2">
      <c r="A84" s="701"/>
      <c r="B84" s="701"/>
      <c r="C84" s="701"/>
      <c r="D84" s="473" t="s">
        <v>358</v>
      </c>
      <c r="G84" s="414"/>
    </row>
    <row r="85" spans="1:7" ht="15" x14ac:dyDescent="0.2">
      <c r="A85" s="701"/>
      <c r="B85" s="701"/>
      <c r="C85" s="701"/>
      <c r="D85" s="473" t="s">
        <v>359</v>
      </c>
      <c r="G85" s="414"/>
    </row>
    <row r="86" spans="1:7" ht="15" x14ac:dyDescent="0.2">
      <c r="A86" s="701"/>
      <c r="B86" s="701"/>
      <c r="C86" s="701"/>
      <c r="D86" s="473" t="s">
        <v>360</v>
      </c>
      <c r="G86" s="414"/>
    </row>
    <row r="87" spans="1:7" ht="15" x14ac:dyDescent="0.2">
      <c r="A87" s="701"/>
      <c r="B87" s="701"/>
      <c r="C87" s="701"/>
      <c r="D87" s="473" t="s">
        <v>361</v>
      </c>
      <c r="G87" s="414"/>
    </row>
    <row r="88" spans="1:7" ht="15" x14ac:dyDescent="0.2">
      <c r="A88" s="701"/>
      <c r="B88" s="701"/>
      <c r="C88" s="701"/>
      <c r="D88" s="473" t="s">
        <v>362</v>
      </c>
      <c r="G88" s="414"/>
    </row>
    <row r="89" spans="1:7" ht="15" x14ac:dyDescent="0.2">
      <c r="A89" s="701"/>
      <c r="B89" s="701"/>
      <c r="C89" s="701"/>
      <c r="D89" s="473" t="s">
        <v>309</v>
      </c>
      <c r="G89" s="414"/>
    </row>
    <row r="90" spans="1:7" ht="15" x14ac:dyDescent="0.2">
      <c r="A90" s="701"/>
      <c r="B90" s="701"/>
      <c r="C90" s="701"/>
      <c r="D90" s="473" t="s">
        <v>363</v>
      </c>
      <c r="G90" s="414"/>
    </row>
    <row r="91" spans="1:7" ht="15" x14ac:dyDescent="0.2">
      <c r="A91" s="701"/>
      <c r="B91" s="701"/>
      <c r="C91" s="701"/>
      <c r="D91" s="473" t="s">
        <v>364</v>
      </c>
      <c r="G91" s="414"/>
    </row>
    <row r="92" spans="1:7" ht="15" x14ac:dyDescent="0.2">
      <c r="A92" s="701"/>
      <c r="B92" s="701"/>
      <c r="C92" s="701"/>
      <c r="D92" s="473" t="s">
        <v>365</v>
      </c>
      <c r="G92" s="414"/>
    </row>
    <row r="93" spans="1:7" ht="15" x14ac:dyDescent="0.2">
      <c r="A93" s="701"/>
      <c r="B93" s="701"/>
      <c r="C93" s="701"/>
      <c r="D93" s="473" t="s">
        <v>366</v>
      </c>
      <c r="G93" s="414"/>
    </row>
    <row r="94" spans="1:7" ht="15" x14ac:dyDescent="0.2">
      <c r="A94" s="701"/>
      <c r="B94" s="701"/>
      <c r="C94" s="701"/>
      <c r="D94" s="473" t="s">
        <v>367</v>
      </c>
      <c r="G94" s="414"/>
    </row>
    <row r="95" spans="1:7" ht="15" x14ac:dyDescent="0.2">
      <c r="A95" s="701"/>
      <c r="B95" s="701"/>
      <c r="C95" s="701"/>
      <c r="D95" s="473" t="s">
        <v>368</v>
      </c>
      <c r="G95" s="414"/>
    </row>
    <row r="96" spans="1:7" ht="15.75" thickBot="1" x14ac:dyDescent="0.25">
      <c r="A96" s="701"/>
      <c r="B96" s="701"/>
      <c r="C96" s="702"/>
      <c r="D96" s="474" t="s">
        <v>369</v>
      </c>
      <c r="G96" s="414"/>
    </row>
    <row r="97" spans="1:17" x14ac:dyDescent="0.2">
      <c r="A97" s="701"/>
      <c r="B97" s="701"/>
      <c r="C97" s="705" t="s">
        <v>190</v>
      </c>
      <c r="D97" s="707" t="s">
        <v>370</v>
      </c>
    </row>
    <row r="98" spans="1:17" ht="13.5" thickBot="1" x14ac:dyDescent="0.25">
      <c r="A98" s="701"/>
      <c r="B98" s="701"/>
      <c r="C98" s="706"/>
      <c r="D98" s="708"/>
    </row>
    <row r="99" spans="1:17" ht="13.5" thickBot="1" x14ac:dyDescent="0.25">
      <c r="A99" s="701"/>
      <c r="B99" s="701"/>
      <c r="C99" s="709" t="s">
        <v>371</v>
      </c>
      <c r="D99" s="710"/>
    </row>
    <row r="100" spans="1:17" ht="13.5" thickBot="1" x14ac:dyDescent="0.25">
      <c r="A100" s="701"/>
      <c r="B100" s="701"/>
      <c r="C100" s="421" t="s">
        <v>372</v>
      </c>
      <c r="D100" s="422" t="s">
        <v>373</v>
      </c>
    </row>
    <row r="101" spans="1:17" s="115" customFormat="1" x14ac:dyDescent="0.2">
      <c r="A101" s="701"/>
      <c r="B101" s="701"/>
      <c r="C101" s="423" t="s">
        <v>135</v>
      </c>
      <c r="D101" s="424" t="s">
        <v>374</v>
      </c>
      <c r="H101" s="105"/>
      <c r="I101" s="105"/>
      <c r="J101" s="105"/>
      <c r="K101" s="105"/>
      <c r="L101" s="105"/>
      <c r="M101" s="105"/>
      <c r="N101" s="105"/>
      <c r="O101" s="105"/>
      <c r="P101" s="105"/>
      <c r="Q101" s="105"/>
    </row>
    <row r="102" spans="1:17" s="115" customFormat="1" x14ac:dyDescent="0.2">
      <c r="A102" s="701"/>
      <c r="B102" s="701"/>
      <c r="C102" s="423" t="s">
        <v>248</v>
      </c>
      <c r="D102" s="425"/>
      <c r="H102" s="105"/>
      <c r="I102" s="105"/>
      <c r="J102" s="105"/>
      <c r="K102" s="105"/>
      <c r="L102" s="105"/>
      <c r="M102" s="105"/>
      <c r="N102" s="105"/>
      <c r="O102" s="105"/>
      <c r="P102" s="105"/>
      <c r="Q102" s="105"/>
    </row>
    <row r="103" spans="1:17" s="115" customFormat="1" x14ac:dyDescent="0.2">
      <c r="A103" s="701"/>
      <c r="B103" s="701"/>
      <c r="C103" s="423" t="s">
        <v>250</v>
      </c>
      <c r="D103" s="425"/>
      <c r="H103" s="105"/>
      <c r="I103" s="105"/>
      <c r="J103" s="105"/>
      <c r="K103" s="105"/>
      <c r="L103" s="105"/>
      <c r="M103" s="105"/>
      <c r="N103" s="105"/>
      <c r="O103" s="105"/>
      <c r="P103" s="105"/>
      <c r="Q103" s="105"/>
    </row>
    <row r="104" spans="1:17" s="115" customFormat="1" x14ac:dyDescent="0.2">
      <c r="A104" s="701"/>
      <c r="B104" s="701"/>
      <c r="C104" s="423" t="s">
        <v>252</v>
      </c>
      <c r="D104" s="425"/>
      <c r="H104" s="105"/>
      <c r="I104" s="105"/>
      <c r="J104" s="105"/>
      <c r="K104" s="105"/>
      <c r="L104" s="105"/>
      <c r="M104" s="105"/>
      <c r="N104" s="105"/>
      <c r="O104" s="105"/>
      <c r="P104" s="105"/>
      <c r="Q104" s="105"/>
    </row>
    <row r="105" spans="1:17" s="115" customFormat="1" x14ac:dyDescent="0.2">
      <c r="A105" s="701"/>
      <c r="B105" s="701"/>
      <c r="C105" s="426" t="s">
        <v>143</v>
      </c>
      <c r="D105" s="425" t="s">
        <v>375</v>
      </c>
      <c r="H105" s="105"/>
      <c r="I105" s="105"/>
      <c r="J105" s="105"/>
      <c r="K105" s="105"/>
      <c r="L105" s="105"/>
      <c r="M105" s="105"/>
      <c r="N105" s="105"/>
      <c r="O105" s="105"/>
      <c r="P105" s="105"/>
      <c r="Q105" s="105"/>
    </row>
    <row r="106" spans="1:17" s="115" customFormat="1" ht="13.5" thickBot="1" x14ac:dyDescent="0.25">
      <c r="A106" s="702"/>
      <c r="B106" s="702"/>
      <c r="C106" s="427" t="s">
        <v>145</v>
      </c>
      <c r="D106" s="428"/>
      <c r="H106" s="105"/>
      <c r="I106" s="105"/>
      <c r="J106" s="105"/>
      <c r="K106" s="105"/>
      <c r="L106" s="105"/>
      <c r="M106" s="105"/>
      <c r="N106" s="105"/>
      <c r="O106" s="105"/>
      <c r="P106" s="105"/>
      <c r="Q106" s="105"/>
    </row>
  </sheetData>
  <mergeCells count="14">
    <mergeCell ref="E59:E65"/>
    <mergeCell ref="C65:C79"/>
    <mergeCell ref="C97:C98"/>
    <mergeCell ref="D97:D98"/>
    <mergeCell ref="C99:D99"/>
    <mergeCell ref="C80:C96"/>
    <mergeCell ref="C6:D6"/>
    <mergeCell ref="A8:A106"/>
    <mergeCell ref="B8:B106"/>
    <mergeCell ref="C8:C13"/>
    <mergeCell ref="C14:C28"/>
    <mergeCell ref="C29:C34"/>
    <mergeCell ref="C35:C41"/>
    <mergeCell ref="C43:C64"/>
  </mergeCells>
  <hyperlinks>
    <hyperlink ref="A2" location="Inventory!A1" display="Inventory" xr:uid="{00000000-0004-0000-0B00-000000000000}"/>
    <hyperlink ref="E1" r:id="rId1" display="https://cpf.navy.deps.mil/sites/cnap/N42/N422/Shared Documents/Forms/AllItems.aspx?RootFolder=%2Fsites%2Fcnap%2FN42%2FN422%2FShared%20Documents%2FN422C%20NAMP%2FMESMs%20and%20MC%2DFMC%20Goals&amp;FolderCTID=0x012000212BF25147D011499F67519C86833776&amp;View=%7BF" xr:uid="{00000000-0004-0000-0B00-000001000000}"/>
  </hyperlinks>
  <pageMargins left="0" right="0" top="0" bottom="0" header="0.5" footer="0.5"/>
  <pageSetup paperSize="9" scale="70" orientation="portrait" cellComments="atEnd" r:id="rId2"/>
  <headerFooter alignWithMargins="0"/>
  <rowBreaks count="1" manualBreakCount="1">
    <brk id="96" max="3" man="1"/>
  </rowBreaks>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showGridLines="0" workbookViewId="0">
      <selection activeCell="B10" sqref="B10"/>
    </sheetView>
  </sheetViews>
  <sheetFormatPr defaultRowHeight="15" x14ac:dyDescent="0.25"/>
  <cols>
    <col min="1" max="1" width="16" style="108" bestFit="1" customWidth="1"/>
    <col min="2" max="2" width="100.85546875" style="108" customWidth="1"/>
    <col min="3" max="16384" width="9.140625" style="108"/>
  </cols>
  <sheetData>
    <row r="1" spans="1:2" x14ac:dyDescent="0.25">
      <c r="A1" s="408" t="s">
        <v>52</v>
      </c>
    </row>
    <row r="3" spans="1:2" x14ac:dyDescent="0.25">
      <c r="A3" s="111" t="s">
        <v>376</v>
      </c>
      <c r="B3" s="111" t="s">
        <v>377</v>
      </c>
    </row>
    <row r="4" spans="1:2" ht="60" x14ac:dyDescent="0.25">
      <c r="A4" s="502" t="s">
        <v>190</v>
      </c>
      <c r="B4" s="503" t="s">
        <v>378</v>
      </c>
    </row>
    <row r="5" spans="1:2" x14ac:dyDescent="0.25">
      <c r="A5" s="146"/>
      <c r="B5" s="146"/>
    </row>
    <row r="6" spans="1:2" x14ac:dyDescent="0.25">
      <c r="A6" s="146"/>
      <c r="B6" s="146"/>
    </row>
    <row r="7" spans="1:2" x14ac:dyDescent="0.25">
      <c r="A7" s="146"/>
      <c r="B7" s="146"/>
    </row>
    <row r="8" spans="1:2" x14ac:dyDescent="0.25">
      <c r="A8" s="146"/>
      <c r="B8" s="146"/>
    </row>
    <row r="9" spans="1:2" x14ac:dyDescent="0.25">
      <c r="A9" s="146"/>
      <c r="B9" s="146"/>
    </row>
    <row r="10" spans="1:2" x14ac:dyDescent="0.25">
      <c r="A10" s="146"/>
      <c r="B10" s="146"/>
    </row>
    <row r="11" spans="1:2" x14ac:dyDescent="0.25">
      <c r="A11" s="146"/>
      <c r="B11" s="146"/>
    </row>
    <row r="12" spans="1:2" x14ac:dyDescent="0.25">
      <c r="A12" s="146"/>
      <c r="B12" s="146"/>
    </row>
    <row r="13" spans="1:2" x14ac:dyDescent="0.25">
      <c r="A13" s="146"/>
      <c r="B13" s="146"/>
    </row>
    <row r="14" spans="1:2" x14ac:dyDescent="0.25">
      <c r="A14" s="146"/>
      <c r="B14" s="146"/>
    </row>
    <row r="15" spans="1:2" x14ac:dyDescent="0.25">
      <c r="A15" s="146"/>
      <c r="B15" s="146"/>
    </row>
    <row r="16" spans="1:2" x14ac:dyDescent="0.25">
      <c r="A16" s="146"/>
      <c r="B16" s="146"/>
    </row>
    <row r="17" spans="1:2" x14ac:dyDescent="0.25">
      <c r="A17" s="146"/>
      <c r="B17" s="146"/>
    </row>
  </sheetData>
  <hyperlinks>
    <hyperlink ref="A1" location="Inventory!A1" display="Inventory" xr:uid="{00000000-0004-0000-0C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39"/>
  <sheetViews>
    <sheetView showGridLines="0" topLeftCell="A13" workbookViewId="0">
      <selection activeCell="B35" sqref="B35"/>
    </sheetView>
  </sheetViews>
  <sheetFormatPr defaultRowHeight="15" x14ac:dyDescent="0.25"/>
  <cols>
    <col min="1" max="1" width="11.140625" style="112" customWidth="1"/>
    <col min="2" max="2" width="32" style="112" bestFit="1" customWidth="1"/>
    <col min="3" max="3" width="84" style="108" customWidth="1"/>
    <col min="4" max="16384" width="9.140625" style="108"/>
  </cols>
  <sheetData>
    <row r="1" spans="1:4" x14ac:dyDescent="0.25">
      <c r="A1" s="106" t="s">
        <v>7</v>
      </c>
      <c r="B1" s="106" t="s">
        <v>8</v>
      </c>
      <c r="C1" s="107" t="s">
        <v>9</v>
      </c>
      <c r="D1" s="107"/>
    </row>
    <row r="2" spans="1:4" x14ac:dyDescent="0.25">
      <c r="A2" s="109">
        <v>41091</v>
      </c>
      <c r="B2" s="110" t="s">
        <v>10</v>
      </c>
      <c r="C2" s="143" t="s">
        <v>11</v>
      </c>
      <c r="D2" s="111"/>
    </row>
    <row r="3" spans="1:4" s="112" customFormat="1" x14ac:dyDescent="0.25">
      <c r="A3" s="109">
        <v>41183</v>
      </c>
      <c r="B3" s="110" t="s">
        <v>12</v>
      </c>
      <c r="C3" s="144" t="s">
        <v>13</v>
      </c>
    </row>
    <row r="4" spans="1:4" x14ac:dyDescent="0.25">
      <c r="A4" s="109">
        <v>41183</v>
      </c>
      <c r="B4" s="110" t="s">
        <v>14</v>
      </c>
      <c r="C4" s="143" t="s">
        <v>15</v>
      </c>
    </row>
    <row r="5" spans="1:4" x14ac:dyDescent="0.25">
      <c r="A5" s="135">
        <v>41426</v>
      </c>
      <c r="B5" s="136" t="s">
        <v>16</v>
      </c>
      <c r="C5" s="145" t="s">
        <v>17</v>
      </c>
    </row>
    <row r="6" spans="1:4" ht="30" x14ac:dyDescent="0.25">
      <c r="A6" s="109">
        <v>41426</v>
      </c>
      <c r="B6" s="110" t="s">
        <v>16</v>
      </c>
      <c r="C6" s="143" t="s">
        <v>18</v>
      </c>
    </row>
    <row r="7" spans="1:4" x14ac:dyDescent="0.25">
      <c r="A7" s="109">
        <v>41548</v>
      </c>
      <c r="B7" s="110" t="s">
        <v>19</v>
      </c>
      <c r="C7" s="143" t="s">
        <v>15</v>
      </c>
    </row>
    <row r="8" spans="1:4" x14ac:dyDescent="0.25">
      <c r="A8" s="109">
        <v>41609</v>
      </c>
      <c r="B8" s="110" t="s">
        <v>20</v>
      </c>
      <c r="C8" s="143" t="s">
        <v>21</v>
      </c>
    </row>
    <row r="9" spans="1:4" x14ac:dyDescent="0.25">
      <c r="A9" s="109">
        <v>41733</v>
      </c>
      <c r="B9" s="110" t="s">
        <v>10</v>
      </c>
      <c r="C9" s="143" t="s">
        <v>22</v>
      </c>
    </row>
    <row r="10" spans="1:4" x14ac:dyDescent="0.25">
      <c r="A10" s="109">
        <v>41815</v>
      </c>
      <c r="B10" s="110" t="s">
        <v>10</v>
      </c>
      <c r="C10" s="143" t="s">
        <v>23</v>
      </c>
    </row>
    <row r="11" spans="1:4" x14ac:dyDescent="0.25">
      <c r="A11" s="109">
        <v>41815</v>
      </c>
      <c r="B11" s="110" t="s">
        <v>10</v>
      </c>
      <c r="C11" s="143" t="s">
        <v>24</v>
      </c>
    </row>
    <row r="12" spans="1:4" x14ac:dyDescent="0.25">
      <c r="A12" s="109">
        <v>41815</v>
      </c>
      <c r="B12" s="110" t="s">
        <v>10</v>
      </c>
      <c r="C12" s="146" t="s">
        <v>25</v>
      </c>
    </row>
    <row r="13" spans="1:4" x14ac:dyDescent="0.25">
      <c r="A13" s="109">
        <v>41957</v>
      </c>
      <c r="B13" s="477" t="s">
        <v>16</v>
      </c>
      <c r="C13" s="146" t="s">
        <v>26</v>
      </c>
    </row>
    <row r="14" spans="1:4" x14ac:dyDescent="0.25">
      <c r="A14" s="110"/>
      <c r="B14" s="477"/>
      <c r="C14" s="146" t="s">
        <v>27</v>
      </c>
    </row>
    <row r="15" spans="1:4" x14ac:dyDescent="0.25">
      <c r="A15" s="109">
        <v>42005</v>
      </c>
      <c r="B15" s="477" t="s">
        <v>16</v>
      </c>
      <c r="C15" s="146" t="s">
        <v>28</v>
      </c>
    </row>
    <row r="16" spans="1:4" x14ac:dyDescent="0.25">
      <c r="A16" s="109">
        <v>42583</v>
      </c>
      <c r="B16" s="477" t="s">
        <v>16</v>
      </c>
      <c r="C16" s="146" t="s">
        <v>29</v>
      </c>
    </row>
    <row r="17" spans="1:3" x14ac:dyDescent="0.25">
      <c r="A17" s="109">
        <v>42644</v>
      </c>
      <c r="B17" s="477" t="s">
        <v>30</v>
      </c>
      <c r="C17" s="146" t="s">
        <v>31</v>
      </c>
    </row>
    <row r="18" spans="1:3" x14ac:dyDescent="0.25">
      <c r="A18" s="109">
        <v>42826</v>
      </c>
      <c r="B18" s="477" t="s">
        <v>16</v>
      </c>
      <c r="C18" s="146" t="s">
        <v>32</v>
      </c>
    </row>
    <row r="19" spans="1:3" x14ac:dyDescent="0.25">
      <c r="A19" s="109">
        <v>42826</v>
      </c>
      <c r="B19" s="477" t="s">
        <v>16</v>
      </c>
      <c r="C19" s="146" t="s">
        <v>33</v>
      </c>
    </row>
    <row r="20" spans="1:3" x14ac:dyDescent="0.25">
      <c r="A20" s="109">
        <v>42826</v>
      </c>
      <c r="B20" s="477" t="s">
        <v>16</v>
      </c>
      <c r="C20" s="146" t="s">
        <v>34</v>
      </c>
    </row>
    <row r="21" spans="1:3" x14ac:dyDescent="0.25">
      <c r="A21" s="109">
        <v>43009</v>
      </c>
      <c r="B21" s="477" t="s">
        <v>30</v>
      </c>
      <c r="C21" s="146" t="s">
        <v>35</v>
      </c>
    </row>
    <row r="22" spans="1:3" x14ac:dyDescent="0.25">
      <c r="A22" s="109">
        <v>43374</v>
      </c>
      <c r="B22" s="477" t="s">
        <v>30</v>
      </c>
      <c r="C22" s="146" t="s">
        <v>36</v>
      </c>
    </row>
    <row r="23" spans="1:3" x14ac:dyDescent="0.25">
      <c r="A23" s="109">
        <v>43435</v>
      </c>
      <c r="B23" s="477" t="s">
        <v>16</v>
      </c>
      <c r="C23" s="146" t="s">
        <v>37</v>
      </c>
    </row>
    <row r="24" spans="1:3" x14ac:dyDescent="0.25">
      <c r="A24" s="109">
        <v>43435</v>
      </c>
      <c r="B24" s="477" t="s">
        <v>16</v>
      </c>
      <c r="C24" s="146" t="s">
        <v>38</v>
      </c>
    </row>
    <row r="25" spans="1:3" x14ac:dyDescent="0.25">
      <c r="A25" s="109">
        <v>43435</v>
      </c>
      <c r="B25" s="477" t="s">
        <v>16</v>
      </c>
      <c r="C25" s="475" t="s">
        <v>39</v>
      </c>
    </row>
    <row r="26" spans="1:3" x14ac:dyDescent="0.25">
      <c r="A26" s="109">
        <v>43435</v>
      </c>
      <c r="B26" s="477" t="s">
        <v>16</v>
      </c>
      <c r="C26" s="475" t="s">
        <v>40</v>
      </c>
    </row>
    <row r="27" spans="1:3" x14ac:dyDescent="0.25">
      <c r="A27" s="109">
        <v>43586</v>
      </c>
      <c r="B27" s="477" t="s">
        <v>41</v>
      </c>
      <c r="C27" s="146" t="s">
        <v>42</v>
      </c>
    </row>
    <row r="28" spans="1:3" x14ac:dyDescent="0.25">
      <c r="A28" s="109">
        <v>43800</v>
      </c>
      <c r="B28" s="110" t="s">
        <v>16</v>
      </c>
      <c r="C28" s="146" t="s">
        <v>43</v>
      </c>
    </row>
    <row r="29" spans="1:3" x14ac:dyDescent="0.25">
      <c r="A29" s="109">
        <v>43800</v>
      </c>
      <c r="B29" s="110" t="s">
        <v>44</v>
      </c>
      <c r="C29" s="146" t="s">
        <v>5</v>
      </c>
    </row>
    <row r="30" spans="1:3" x14ac:dyDescent="0.25">
      <c r="A30" s="109">
        <v>44470</v>
      </c>
      <c r="B30" s="110" t="s">
        <v>45</v>
      </c>
      <c r="C30" s="146" t="s">
        <v>46</v>
      </c>
    </row>
    <row r="31" spans="1:3" x14ac:dyDescent="0.25">
      <c r="A31" s="135">
        <v>44835</v>
      </c>
      <c r="B31" s="146" t="s">
        <v>16</v>
      </c>
      <c r="C31" s="143" t="s">
        <v>47</v>
      </c>
    </row>
    <row r="32" spans="1:3" x14ac:dyDescent="0.25">
      <c r="A32" s="109">
        <v>44835</v>
      </c>
      <c r="B32" s="532" t="s">
        <v>16</v>
      </c>
      <c r="C32" s="143" t="s">
        <v>48</v>
      </c>
    </row>
    <row r="33" spans="1:3" x14ac:dyDescent="0.25">
      <c r="A33" s="109">
        <v>44866</v>
      </c>
      <c r="B33" s="110" t="s">
        <v>49</v>
      </c>
      <c r="C33" s="146" t="s">
        <v>50</v>
      </c>
    </row>
    <row r="34" spans="1:3" x14ac:dyDescent="0.25">
      <c r="A34" s="110"/>
      <c r="B34" s="110"/>
      <c r="C34" s="146"/>
    </row>
    <row r="35" spans="1:3" x14ac:dyDescent="0.25">
      <c r="A35" s="110"/>
      <c r="B35" s="110"/>
      <c r="C35" s="146"/>
    </row>
    <row r="36" spans="1:3" x14ac:dyDescent="0.25">
      <c r="A36" s="110"/>
      <c r="B36" s="110"/>
      <c r="C36" s="146"/>
    </row>
    <row r="37" spans="1:3" x14ac:dyDescent="0.25">
      <c r="A37" s="110"/>
      <c r="B37" s="110"/>
      <c r="C37" s="146"/>
    </row>
    <row r="38" spans="1:3" x14ac:dyDescent="0.25">
      <c r="A38" s="110"/>
      <c r="B38" s="110"/>
      <c r="C38" s="146"/>
    </row>
    <row r="39" spans="1:3" x14ac:dyDescent="0.25">
      <c r="A39" s="110"/>
      <c r="B39" s="110"/>
      <c r="C39" s="146"/>
    </row>
  </sheetData>
  <phoneticPr fontId="7" type="noConversion"/>
  <pageMargins left="0.75" right="0.75" top="1" bottom="1" header="0.5" footer="0.5"/>
  <pageSetup scale="97"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53"/>
  <sheetViews>
    <sheetView showGridLines="0" zoomScaleNormal="100" workbookViewId="0">
      <selection activeCell="F1" sqref="F1"/>
    </sheetView>
  </sheetViews>
  <sheetFormatPr defaultRowHeight="12.75" x14ac:dyDescent="0.2"/>
  <cols>
    <col min="1" max="1" width="60" style="105" customWidth="1"/>
    <col min="2" max="3" width="5.7109375" style="105" customWidth="1"/>
    <col min="4" max="4" width="5.7109375" style="151" customWidth="1"/>
    <col min="5" max="6" width="5.7109375" style="105" customWidth="1"/>
    <col min="7" max="8" width="5.7109375" style="213" customWidth="1"/>
    <col min="9" max="9" width="6.28515625" style="105" bestFit="1" customWidth="1"/>
    <col min="10" max="10" width="13.7109375" style="105" customWidth="1"/>
    <col min="11" max="11" width="5.7109375" style="105" customWidth="1"/>
    <col min="12" max="12" width="5.7109375" style="83" customWidth="1"/>
    <col min="13" max="13" width="13.7109375" style="83" customWidth="1"/>
    <col min="14" max="14" width="10.42578125" style="83" bestFit="1" customWidth="1"/>
    <col min="15" max="15" width="11.85546875" style="83" bestFit="1" customWidth="1"/>
    <col min="16" max="16" width="13.7109375" style="83" bestFit="1" customWidth="1"/>
    <col min="17" max="17" width="18.5703125" style="213" bestFit="1" customWidth="1"/>
    <col min="18" max="19" width="3" style="115" bestFit="1" customWidth="1"/>
    <col min="20" max="20" width="4" style="115" bestFit="1" customWidth="1"/>
    <col min="21" max="21" width="9.140625" style="115" customWidth="1"/>
    <col min="22" max="35" width="9.140625" style="115"/>
    <col min="36" max="16384" width="9.140625" style="105"/>
  </cols>
  <sheetData>
    <row r="1" spans="1:32" s="64" customFormat="1" ht="18.75" x14ac:dyDescent="0.3">
      <c r="A1" s="666" t="s">
        <v>51</v>
      </c>
      <c r="B1" s="666"/>
      <c r="C1" s="666"/>
      <c r="D1" s="61"/>
      <c r="F1" s="113" t="s">
        <v>52</v>
      </c>
      <c r="G1" s="61"/>
      <c r="H1" s="61"/>
      <c r="I1" s="60" t="s">
        <v>53</v>
      </c>
      <c r="J1" s="373">
        <v>44866</v>
      </c>
      <c r="K1" s="373"/>
      <c r="L1" s="64" t="s">
        <v>54</v>
      </c>
      <c r="M1" s="515" t="s">
        <v>55</v>
      </c>
      <c r="N1" s="273"/>
      <c r="O1" s="273"/>
      <c r="P1" s="273"/>
      <c r="Q1" s="213"/>
      <c r="V1" s="62"/>
      <c r="W1" s="62"/>
      <c r="X1" s="62"/>
      <c r="Y1" s="62"/>
      <c r="Z1" s="62"/>
      <c r="AA1" s="62"/>
      <c r="AB1" s="62"/>
      <c r="AC1" s="62"/>
      <c r="AD1" s="62"/>
      <c r="AE1" s="62"/>
      <c r="AF1" s="62"/>
    </row>
    <row r="2" spans="1:32" s="36" customFormat="1" x14ac:dyDescent="0.2">
      <c r="A2" s="217" t="s">
        <v>56</v>
      </c>
      <c r="B2" s="217">
        <v>3</v>
      </c>
      <c r="C2" s="217"/>
      <c r="F2" s="476" t="s">
        <v>3</v>
      </c>
      <c r="G2" s="211"/>
      <c r="H2" s="211"/>
      <c r="K2" s="210"/>
      <c r="L2" s="274"/>
      <c r="M2" s="274"/>
      <c r="N2" s="274"/>
      <c r="O2" s="274"/>
      <c r="P2" s="274"/>
      <c r="Q2" s="211"/>
    </row>
    <row r="3" spans="1:32" s="36" customFormat="1" ht="12" x14ac:dyDescent="0.2">
      <c r="A3" s="217" t="s">
        <v>57</v>
      </c>
      <c r="B3" s="535">
        <f>B4/B2</f>
        <v>1</v>
      </c>
      <c r="C3" s="217"/>
      <c r="G3" s="211"/>
      <c r="H3" s="211"/>
      <c r="K3" s="272"/>
      <c r="L3" s="274"/>
      <c r="M3" s="274"/>
      <c r="N3" s="274"/>
      <c r="O3" s="274"/>
      <c r="P3" s="274"/>
      <c r="Q3" s="211"/>
    </row>
    <row r="4" spans="1:32" s="36" customFormat="1" ht="12" x14ac:dyDescent="0.2">
      <c r="A4" s="217" t="s">
        <v>58</v>
      </c>
      <c r="B4" s="217">
        <v>3</v>
      </c>
      <c r="C4" s="217"/>
      <c r="G4" s="211"/>
      <c r="H4" s="211"/>
      <c r="K4" s="272"/>
      <c r="L4" s="274"/>
      <c r="M4" s="274"/>
      <c r="N4" s="274"/>
      <c r="O4" s="274"/>
      <c r="P4" s="274"/>
      <c r="Q4" s="211"/>
    </row>
    <row r="5" spans="1:32" s="36" customFormat="1" ht="12" x14ac:dyDescent="0.2">
      <c r="A5" s="217" t="s">
        <v>59</v>
      </c>
      <c r="B5" s="234">
        <v>2</v>
      </c>
      <c r="C5" s="217"/>
      <c r="G5" s="211"/>
      <c r="H5" s="211"/>
      <c r="K5" s="272"/>
      <c r="L5" s="274"/>
      <c r="M5" s="274"/>
      <c r="N5" s="274"/>
      <c r="O5" s="274"/>
      <c r="P5" s="274"/>
      <c r="Q5" s="211"/>
    </row>
    <row r="6" spans="1:32" s="36" customFormat="1" ht="12" x14ac:dyDescent="0.2">
      <c r="A6" s="217" t="s">
        <v>60</v>
      </c>
      <c r="B6" s="235">
        <v>24.8</v>
      </c>
      <c r="C6" s="217"/>
      <c r="G6" s="211"/>
      <c r="H6" s="211"/>
      <c r="K6" s="272"/>
      <c r="L6" s="275"/>
      <c r="M6" s="274"/>
      <c r="N6" s="274"/>
      <c r="O6" s="274"/>
      <c r="P6" s="274"/>
      <c r="Q6" s="211"/>
    </row>
    <row r="7" spans="1:32" s="36" customFormat="1" ht="12" x14ac:dyDescent="0.2">
      <c r="A7" s="217" t="s">
        <v>61</v>
      </c>
      <c r="B7" s="234">
        <f xml:space="preserve"> PRODUCT(B4,B6)</f>
        <v>74.400000000000006</v>
      </c>
      <c r="C7" s="217"/>
      <c r="G7" s="211"/>
      <c r="H7" s="211"/>
      <c r="K7" s="314"/>
      <c r="L7" s="314"/>
      <c r="M7" s="314"/>
      <c r="N7" s="314"/>
      <c r="O7" s="274"/>
      <c r="P7" s="274"/>
      <c r="Q7" s="211"/>
    </row>
    <row r="8" spans="1:32" s="36" customFormat="1" ht="12" x14ac:dyDescent="0.2">
      <c r="A8" s="217" t="s">
        <v>62</v>
      </c>
      <c r="B8" s="234">
        <f>B7/B5</f>
        <v>37.200000000000003</v>
      </c>
      <c r="C8" s="217"/>
      <c r="E8" s="219"/>
      <c r="G8" s="211"/>
      <c r="H8" s="211"/>
      <c r="K8" s="314"/>
      <c r="L8" s="314"/>
      <c r="M8" s="314"/>
      <c r="N8" s="314"/>
      <c r="O8" s="274"/>
      <c r="P8" s="274"/>
      <c r="Q8" s="211"/>
    </row>
    <row r="9" spans="1:32" s="36" customFormat="1" ht="12" x14ac:dyDescent="0.2">
      <c r="A9" s="217" t="s">
        <v>63</v>
      </c>
      <c r="B9" s="217">
        <f>C9*B4</f>
        <v>3</v>
      </c>
      <c r="C9" s="36">
        <v>1</v>
      </c>
      <c r="D9" s="220" t="s">
        <v>64</v>
      </c>
      <c r="G9" s="211"/>
      <c r="H9" s="252" t="s">
        <v>65</v>
      </c>
      <c r="I9" s="222">
        <v>0.4</v>
      </c>
      <c r="J9" s="222"/>
      <c r="K9" s="314"/>
      <c r="L9" s="314"/>
      <c r="M9" s="314"/>
      <c r="N9" s="314"/>
      <c r="O9" s="274"/>
      <c r="P9" s="274"/>
      <c r="Q9" s="211"/>
    </row>
    <row r="10" spans="1:32" s="36" customFormat="1" ht="12" x14ac:dyDescent="0.2">
      <c r="A10" s="217" t="s">
        <v>66</v>
      </c>
      <c r="B10" s="217">
        <f>C10*B4</f>
        <v>43.8</v>
      </c>
      <c r="C10" s="223">
        <v>14.6</v>
      </c>
      <c r="D10" s="220" t="s">
        <v>64</v>
      </c>
      <c r="G10" s="211"/>
      <c r="H10" s="254" t="s">
        <v>67</v>
      </c>
      <c r="I10" s="222">
        <v>7.2999999999999995E-2</v>
      </c>
      <c r="J10" s="222"/>
      <c r="K10" s="314"/>
      <c r="L10" s="314"/>
      <c r="M10" s="314"/>
      <c r="N10" s="314"/>
      <c r="O10" s="274"/>
      <c r="P10" s="274"/>
      <c r="Q10" s="211"/>
    </row>
    <row r="11" spans="1:32" s="36" customFormat="1" ht="12" x14ac:dyDescent="0.2">
      <c r="A11" s="226" t="s">
        <v>68</v>
      </c>
      <c r="B11" s="236">
        <f>C11*B4</f>
        <v>0</v>
      </c>
      <c r="C11" s="227">
        <v>0</v>
      </c>
      <c r="D11" s="220" t="s">
        <v>64</v>
      </c>
      <c r="G11" s="211"/>
      <c r="H11" s="211"/>
      <c r="K11" s="314"/>
      <c r="L11" s="314"/>
      <c r="M11" s="314"/>
      <c r="N11" s="314"/>
      <c r="O11" s="274"/>
      <c r="P11" s="274"/>
      <c r="Q11" s="211"/>
    </row>
    <row r="12" spans="1:32" s="36" customFormat="1" ht="12" x14ac:dyDescent="0.2">
      <c r="A12" s="217"/>
      <c r="B12" s="217"/>
      <c r="C12" s="217"/>
      <c r="D12" s="233"/>
      <c r="E12" s="217"/>
      <c r="F12" s="35"/>
      <c r="G12" s="211"/>
      <c r="H12" s="211"/>
      <c r="K12" s="314"/>
      <c r="L12" s="314"/>
      <c r="M12" s="314"/>
      <c r="N12" s="314"/>
      <c r="O12" s="274"/>
      <c r="P12" s="274"/>
      <c r="Q12" s="211"/>
    </row>
    <row r="13" spans="1:32" s="36" customFormat="1" ht="59.25" x14ac:dyDescent="0.4">
      <c r="A13" s="33" t="s">
        <v>69</v>
      </c>
      <c r="B13" s="148" t="s">
        <v>70</v>
      </c>
      <c r="C13" s="148" t="s">
        <v>71</v>
      </c>
      <c r="D13" s="148" t="s">
        <v>72</v>
      </c>
      <c r="E13" s="34" t="s">
        <v>73</v>
      </c>
      <c r="F13" s="65" t="s">
        <v>74</v>
      </c>
      <c r="G13" s="211"/>
      <c r="H13" s="211"/>
      <c r="K13" s="314"/>
      <c r="L13" s="314"/>
      <c r="M13" s="276" t="s">
        <v>75</v>
      </c>
      <c r="N13" s="314"/>
      <c r="O13" s="277"/>
      <c r="P13" s="277"/>
      <c r="Q13" s="211"/>
    </row>
    <row r="14" spans="1:32" s="36" customFormat="1" ht="12" x14ac:dyDescent="0.2">
      <c r="A14" s="33" t="s">
        <v>76</v>
      </c>
      <c r="B14" s="237" t="s">
        <v>77</v>
      </c>
      <c r="C14" s="237" t="s">
        <v>78</v>
      </c>
      <c r="D14" s="237" t="s">
        <v>79</v>
      </c>
      <c r="E14" s="37" t="s">
        <v>80</v>
      </c>
      <c r="F14" s="66" t="s">
        <v>81</v>
      </c>
      <c r="G14" s="268">
        <v>1</v>
      </c>
      <c r="H14" s="211"/>
      <c r="I14" s="39"/>
      <c r="J14" s="39"/>
      <c r="K14" s="39"/>
      <c r="L14" s="114"/>
      <c r="M14" s="278"/>
      <c r="N14" s="278"/>
      <c r="O14" s="278"/>
      <c r="P14" s="278"/>
      <c r="Q14" s="211"/>
    </row>
    <row r="15" spans="1:32" s="36" customFormat="1" ht="12" x14ac:dyDescent="0.2">
      <c r="A15" s="33" t="s">
        <v>82</v>
      </c>
      <c r="B15" s="238">
        <v>1</v>
      </c>
      <c r="C15" s="238">
        <v>2</v>
      </c>
      <c r="D15" s="238">
        <v>3</v>
      </c>
      <c r="E15" s="38">
        <v>4</v>
      </c>
      <c r="F15" s="66">
        <v>28</v>
      </c>
      <c r="G15" s="268">
        <f>G14+1</f>
        <v>2</v>
      </c>
      <c r="H15" s="211"/>
      <c r="I15" s="365"/>
      <c r="J15" s="365"/>
      <c r="K15" s="365"/>
      <c r="L15" s="114"/>
      <c r="M15" s="278"/>
      <c r="N15" s="278"/>
      <c r="O15" s="278"/>
      <c r="P15" s="278"/>
      <c r="Q15" s="211"/>
    </row>
    <row r="16" spans="1:32" s="36" customFormat="1" ht="12" x14ac:dyDescent="0.2">
      <c r="A16" s="33" t="s">
        <v>83</v>
      </c>
      <c r="B16" s="237" t="s">
        <v>84</v>
      </c>
      <c r="C16" s="237" t="s">
        <v>84</v>
      </c>
      <c r="D16" s="316" t="s">
        <v>72</v>
      </c>
      <c r="E16" s="132" t="s">
        <v>73</v>
      </c>
      <c r="F16" s="228" t="s">
        <v>85</v>
      </c>
      <c r="G16" s="268">
        <f t="shared" ref="G16:G59" si="0">G15+1</f>
        <v>3</v>
      </c>
      <c r="H16" s="211"/>
      <c r="L16" s="279"/>
      <c r="M16" s="655"/>
      <c r="N16" s="280"/>
      <c r="O16" s="114"/>
      <c r="P16" s="114"/>
      <c r="Q16" s="211"/>
    </row>
    <row r="17" spans="1:22" s="36" customFormat="1" x14ac:dyDescent="0.2">
      <c r="A17" s="231" t="s">
        <v>86</v>
      </c>
      <c r="B17" s="232"/>
      <c r="C17" s="317"/>
      <c r="D17" s="318"/>
      <c r="E17" s="307"/>
      <c r="F17" s="134"/>
      <c r="G17" s="268">
        <f t="shared" si="0"/>
        <v>4</v>
      </c>
      <c r="H17" s="116"/>
      <c r="L17" s="279"/>
      <c r="M17" s="667" t="s">
        <v>87</v>
      </c>
      <c r="N17" s="667"/>
      <c r="O17" s="667"/>
      <c r="P17" s="667"/>
      <c r="Q17" s="211"/>
    </row>
    <row r="18" spans="1:22" s="36" customFormat="1" ht="12" x14ac:dyDescent="0.2">
      <c r="A18" s="76" t="s">
        <v>88</v>
      </c>
      <c r="B18" s="152">
        <v>0</v>
      </c>
      <c r="C18" s="152">
        <v>5</v>
      </c>
      <c r="D18" s="133">
        <f>IF(D87&lt;80,D88,MIN(D87,80))</f>
        <v>80</v>
      </c>
      <c r="E18" s="133">
        <f>IF(E87&lt;80,E88,MIN(E87,80))</f>
        <v>80</v>
      </c>
      <c r="F18" s="133">
        <f>IF(F87&lt;80,F88,MIN(F87,80))</f>
        <v>22</v>
      </c>
      <c r="G18" s="268">
        <f t="shared" si="0"/>
        <v>5</v>
      </c>
      <c r="H18" s="211"/>
      <c r="L18" s="279"/>
      <c r="M18" s="281"/>
      <c r="N18" s="281"/>
      <c r="O18" s="282"/>
      <c r="P18" s="282"/>
      <c r="Q18" s="211"/>
      <c r="S18" s="117"/>
      <c r="T18" s="117"/>
      <c r="U18" s="117"/>
      <c r="V18" s="117"/>
    </row>
    <row r="19" spans="1:22" s="36" customFormat="1" ht="12" x14ac:dyDescent="0.2">
      <c r="A19" s="77" t="s">
        <v>89</v>
      </c>
      <c r="B19" s="153">
        <v>0.5</v>
      </c>
      <c r="C19" s="153">
        <v>0.6</v>
      </c>
      <c r="D19" s="153">
        <v>0.7</v>
      </c>
      <c r="E19" s="28">
        <v>0.8</v>
      </c>
      <c r="F19" s="67">
        <f>I9</f>
        <v>0.4</v>
      </c>
      <c r="G19" s="268">
        <f t="shared" si="0"/>
        <v>6</v>
      </c>
      <c r="H19" s="81"/>
      <c r="L19" s="279"/>
      <c r="M19" s="283" t="s">
        <v>90</v>
      </c>
      <c r="N19" s="283"/>
      <c r="O19" s="284"/>
      <c r="P19" s="284"/>
      <c r="Q19" s="211"/>
    </row>
    <row r="20" spans="1:22" s="36" customFormat="1" x14ac:dyDescent="0.2">
      <c r="A20" s="125" t="s">
        <v>91</v>
      </c>
      <c r="B20" s="232"/>
      <c r="C20" s="317"/>
      <c r="D20" s="318"/>
      <c r="E20" s="307"/>
      <c r="F20" s="134"/>
      <c r="G20" s="268">
        <f t="shared" si="0"/>
        <v>7</v>
      </c>
      <c r="H20" s="81"/>
      <c r="L20" s="279"/>
      <c r="M20" s="114"/>
      <c r="N20" s="656" t="s">
        <v>80</v>
      </c>
      <c r="O20" s="285" t="s">
        <v>92</v>
      </c>
      <c r="P20" s="114"/>
      <c r="Q20" s="211"/>
    </row>
    <row r="21" spans="1:22" s="36" customFormat="1" ht="12" x14ac:dyDescent="0.2">
      <c r="A21" s="78" t="s">
        <v>93</v>
      </c>
      <c r="B21" s="155">
        <f>B19*$B$8</f>
        <v>18.600000000000001</v>
      </c>
      <c r="C21" s="155">
        <f>C19*$B$8</f>
        <v>22.32</v>
      </c>
      <c r="D21" s="155">
        <f>D19*$B$8</f>
        <v>26.04</v>
      </c>
      <c r="E21" s="128">
        <f>E19*$B$8</f>
        <v>29.760000000000005</v>
      </c>
      <c r="F21" s="128">
        <f>F19*$B$8</f>
        <v>14.880000000000003</v>
      </c>
      <c r="G21" s="268">
        <f t="shared" si="0"/>
        <v>8</v>
      </c>
      <c r="H21" s="210"/>
      <c r="L21" s="279"/>
      <c r="M21" s="114"/>
      <c r="N21" s="114"/>
      <c r="O21" s="114"/>
      <c r="P21" s="114"/>
      <c r="Q21" s="211"/>
    </row>
    <row r="22" spans="1:22" s="36" customFormat="1" ht="12" x14ac:dyDescent="0.2">
      <c r="A22" s="78" t="s">
        <v>94</v>
      </c>
      <c r="B22" s="154">
        <f>B21*$B$5</f>
        <v>37.200000000000003</v>
      </c>
      <c r="C22" s="154">
        <f>C21*$B$5</f>
        <v>44.64</v>
      </c>
      <c r="D22" s="154">
        <f>D21*$B$5</f>
        <v>52.08</v>
      </c>
      <c r="E22" s="260">
        <f>E21*$B$5</f>
        <v>59.52000000000001</v>
      </c>
      <c r="F22" s="260">
        <f>F21*$B$5</f>
        <v>29.760000000000005</v>
      </c>
      <c r="G22" s="268">
        <f t="shared" si="0"/>
        <v>9</v>
      </c>
      <c r="H22" s="210"/>
      <c r="L22" s="279"/>
      <c r="M22" s="286" t="s">
        <v>95</v>
      </c>
      <c r="N22" s="287">
        <f>HLOOKUP($N$20,$B$14:$G$59,G36,FALSE)</f>
        <v>2.4000000000000004</v>
      </c>
      <c r="O22" s="288"/>
      <c r="P22" s="114"/>
      <c r="Q22" s="211"/>
    </row>
    <row r="23" spans="1:22" s="36" customFormat="1" ht="12" x14ac:dyDescent="0.2">
      <c r="A23" s="78" t="s">
        <v>96</v>
      </c>
      <c r="B23" s="380">
        <f>$B$9</f>
        <v>3</v>
      </c>
      <c r="C23" s="380">
        <f>$B$9</f>
        <v>3</v>
      </c>
      <c r="D23" s="380">
        <f>$B$9</f>
        <v>3</v>
      </c>
      <c r="E23" s="380">
        <f>$B$9</f>
        <v>3</v>
      </c>
      <c r="F23" s="381">
        <f>$B$9</f>
        <v>3</v>
      </c>
      <c r="G23" s="268">
        <f t="shared" si="0"/>
        <v>10</v>
      </c>
      <c r="H23" s="210"/>
      <c r="L23" s="279"/>
      <c r="M23" s="114"/>
      <c r="N23" s="114"/>
      <c r="O23" s="283"/>
      <c r="P23" s="114"/>
      <c r="Q23" s="211"/>
    </row>
    <row r="24" spans="1:22" s="36" customFormat="1" ht="12" x14ac:dyDescent="0.2">
      <c r="A24" s="78" t="s">
        <v>97</v>
      </c>
      <c r="B24" s="130">
        <f>IF(ISBLANK(B114),0,$B$10)</f>
        <v>0</v>
      </c>
      <c r="C24" s="130">
        <f>IF(ISBLANK(C114),0,$B$10)</f>
        <v>0</v>
      </c>
      <c r="D24" s="130">
        <f>IF(ISBLANK(D114),0,$B$10)</f>
        <v>0</v>
      </c>
      <c r="E24" s="130">
        <f>IF(ISBLANK(E114),0,$B$10)</f>
        <v>43.8</v>
      </c>
      <c r="F24" s="130">
        <f>IF(ISBLANK(F114),0,$B$10)</f>
        <v>0</v>
      </c>
      <c r="G24" s="268">
        <f t="shared" si="0"/>
        <v>11</v>
      </c>
      <c r="H24" s="81"/>
      <c r="I24" s="39"/>
      <c r="J24" s="39"/>
      <c r="K24" s="39"/>
      <c r="L24" s="279"/>
      <c r="M24" s="114" t="s">
        <v>98</v>
      </c>
      <c r="N24" s="291"/>
      <c r="O24" s="290"/>
      <c r="P24" s="114"/>
      <c r="Q24" s="211"/>
    </row>
    <row r="25" spans="1:22" s="36" customFormat="1" ht="12" x14ac:dyDescent="0.2">
      <c r="A25" s="78" t="s">
        <v>99</v>
      </c>
      <c r="B25" s="154">
        <f>B21*$B$5+SUM(B23:B24)</f>
        <v>40.200000000000003</v>
      </c>
      <c r="C25" s="154">
        <f>C21*$B$5+SUM(C23:C24)</f>
        <v>47.64</v>
      </c>
      <c r="D25" s="154">
        <f>D21*$B$5+SUM(D23:D24)</f>
        <v>55.08</v>
      </c>
      <c r="E25" s="260">
        <f>E21*$B$5+SUM(E23:E24)</f>
        <v>106.32000000000001</v>
      </c>
      <c r="F25" s="260">
        <f>F21*$B$5+SUM(F23:F24)</f>
        <v>32.760000000000005</v>
      </c>
      <c r="G25" s="268">
        <f t="shared" si="0"/>
        <v>12</v>
      </c>
      <c r="H25" s="81"/>
      <c r="I25" s="40"/>
      <c r="J25" s="40"/>
      <c r="K25" s="41"/>
      <c r="L25" s="279"/>
      <c r="M25" s="114" t="s">
        <v>100</v>
      </c>
      <c r="N25" s="657" t="s">
        <v>101</v>
      </c>
      <c r="O25" s="309" t="s">
        <v>102</v>
      </c>
      <c r="P25" s="657" t="s">
        <v>103</v>
      </c>
      <c r="Q25" s="211"/>
    </row>
    <row r="26" spans="1:22" s="36" customFormat="1" ht="12" x14ac:dyDescent="0.2">
      <c r="A26" s="79" t="s">
        <v>104</v>
      </c>
      <c r="B26" s="385">
        <f>-IF(ISBLANK(B113),0,MIN(B$22*$I$10,B$22-B7*$I$9))</f>
        <v>-2.7156000000000002</v>
      </c>
      <c r="C26" s="385">
        <f>-IF(ISBLANK(C113),0,MIN(C$22*$I$10,C$22-C7*$I$9))</f>
        <v>-3.2587199999999998</v>
      </c>
      <c r="D26" s="385">
        <f>-IF(ISBLANK(D113),0,MIN(D$22*$I$10,D$22-B7*$I$9))</f>
        <v>-3.8018399999999994</v>
      </c>
      <c r="E26" s="69">
        <f>-IF(ISBLANK(E113),0,MIN(E$22*$I$10,E$22-$B$7*$I$9))</f>
        <v>0</v>
      </c>
      <c r="F26" s="69">
        <f>-IF(ISBLANK(F113),0,MIN(F$22*$I$10,F$22-$B$7*$I$9))</f>
        <v>0</v>
      </c>
      <c r="G26" s="268">
        <f t="shared" si="0"/>
        <v>13</v>
      </c>
      <c r="H26" s="81"/>
      <c r="I26" s="40"/>
      <c r="J26" s="40"/>
      <c r="K26" s="41"/>
      <c r="L26" s="279"/>
      <c r="M26" s="25"/>
      <c r="N26" s="311">
        <v>1.5</v>
      </c>
      <c r="O26" s="312">
        <v>2.7</v>
      </c>
      <c r="P26" s="310">
        <v>2</v>
      </c>
      <c r="Q26" s="211"/>
    </row>
    <row r="27" spans="1:22" s="36" customFormat="1" ht="12" x14ac:dyDescent="0.2">
      <c r="A27" s="78" t="s">
        <v>105</v>
      </c>
      <c r="B27" s="155">
        <f>SUM(B25:B26)</f>
        <v>37.484400000000001</v>
      </c>
      <c r="C27" s="155">
        <f t="shared" ref="C27" si="1">SUM(C25:C26)</f>
        <v>44.381280000000004</v>
      </c>
      <c r="D27" s="155">
        <f>SUM(D25:D26)</f>
        <v>51.27816</v>
      </c>
      <c r="E27" s="128">
        <f t="shared" ref="E27:F27" si="2">SUM(E25:E26)</f>
        <v>106.32000000000001</v>
      </c>
      <c r="F27" s="128">
        <f t="shared" si="2"/>
        <v>32.760000000000005</v>
      </c>
      <c r="G27" s="268">
        <f t="shared" si="0"/>
        <v>14</v>
      </c>
      <c r="H27" s="210"/>
      <c r="I27" s="40"/>
      <c r="J27" s="40"/>
      <c r="K27" s="41"/>
      <c r="L27" s="279"/>
      <c r="M27" s="313" t="s">
        <v>106</v>
      </c>
      <c r="N27" s="311"/>
      <c r="O27" s="312"/>
      <c r="P27" s="310"/>
      <c r="Q27" s="211"/>
    </row>
    <row r="28" spans="1:22" s="36" customFormat="1" ht="12" x14ac:dyDescent="0.2">
      <c r="A28" s="79" t="s">
        <v>107</v>
      </c>
      <c r="B28" s="128">
        <f>AVERAGE($E$22:$F$22,B22)</f>
        <v>42.160000000000004</v>
      </c>
      <c r="C28" s="128">
        <f>AVERAGE(F22,$B$22:$C$22)</f>
        <v>37.200000000000003</v>
      </c>
      <c r="D28" s="128">
        <f>AVERAGE($B$22:$D$22)</f>
        <v>44.640000000000008</v>
      </c>
      <c r="E28" s="128">
        <f>AVERAGE($C$22:$E$22)</f>
        <v>52.080000000000005</v>
      </c>
      <c r="F28" s="128" t="s">
        <v>108</v>
      </c>
      <c r="G28" s="268">
        <f t="shared" si="0"/>
        <v>15</v>
      </c>
      <c r="H28" s="210"/>
      <c r="I28" s="40"/>
      <c r="J28" s="40"/>
      <c r="K28" s="41"/>
      <c r="L28" s="279"/>
      <c r="M28" s="292"/>
      <c r="N28" s="290"/>
      <c r="O28" s="290"/>
      <c r="P28" s="114"/>
      <c r="Q28" s="211"/>
    </row>
    <row r="29" spans="1:22" s="36" customFormat="1" x14ac:dyDescent="0.2">
      <c r="A29" s="126" t="s">
        <v>109</v>
      </c>
      <c r="B29" s="232"/>
      <c r="C29" s="317"/>
      <c r="D29" s="318"/>
      <c r="E29" s="307"/>
      <c r="F29" s="134"/>
      <c r="G29" s="268">
        <f t="shared" si="0"/>
        <v>16</v>
      </c>
      <c r="H29" s="210"/>
      <c r="I29" s="40"/>
      <c r="J29" s="40"/>
      <c r="K29" s="41"/>
      <c r="M29" s="668" t="s">
        <v>110</v>
      </c>
      <c r="N29" s="668"/>
      <c r="O29" s="668"/>
      <c r="P29" s="668"/>
      <c r="Q29" s="668"/>
    </row>
    <row r="30" spans="1:22" s="36" customFormat="1" ht="12" x14ac:dyDescent="0.2">
      <c r="A30" s="79" t="s">
        <v>111</v>
      </c>
      <c r="B30" s="130">
        <f>IF(ISBLANK(B113),0,$B$11)</f>
        <v>0</v>
      </c>
      <c r="C30" s="130">
        <f>IF(ISBLANK(C113),0,$B$11)</f>
        <v>0</v>
      </c>
      <c r="D30" s="130">
        <f>IF(ISBLANK(D113),0,$B$11)</f>
        <v>0</v>
      </c>
      <c r="E30" s="130">
        <f>IF(ISBLANK(E113),0,$B$11)</f>
        <v>0</v>
      </c>
      <c r="F30" s="130">
        <f>IF(ISBLANK(F113),0,$B$11)</f>
        <v>0</v>
      </c>
      <c r="G30" s="268">
        <f t="shared" si="0"/>
        <v>17</v>
      </c>
      <c r="H30" s="210"/>
      <c r="I30" s="40"/>
      <c r="J30" s="40"/>
      <c r="K30" s="41"/>
      <c r="M30" s="293" t="s">
        <v>112</v>
      </c>
      <c r="N30" s="293" t="s">
        <v>113</v>
      </c>
      <c r="O30" s="294" t="s">
        <v>114</v>
      </c>
      <c r="P30" s="654" t="s">
        <v>115</v>
      </c>
      <c r="Q30" s="654" t="s">
        <v>116</v>
      </c>
    </row>
    <row r="31" spans="1:22" s="36" customFormat="1" x14ac:dyDescent="0.2">
      <c r="A31" s="232" t="s">
        <v>117</v>
      </c>
      <c r="B31" s="232"/>
      <c r="C31" s="317"/>
      <c r="D31" s="318"/>
      <c r="E31" s="307"/>
      <c r="F31" s="131"/>
      <c r="G31" s="268">
        <f t="shared" si="0"/>
        <v>18</v>
      </c>
      <c r="H31" s="210"/>
      <c r="M31" s="306" t="str">
        <f>A49</f>
        <v>Ready Guns Sets</v>
      </c>
      <c r="N31" s="296">
        <v>3</v>
      </c>
      <c r="O31" s="287">
        <f>HLOOKUP($N$20,$B$14:$G$59,G49,FALSE)</f>
        <v>4.8000000000000007</v>
      </c>
      <c r="P31" s="308">
        <f>IF(Q31&lt;=1,IF(ISERROR(MAX(0,$O31-N31)),0,MAX(0,$O31-N31)),IF(ISERROR(MAX(0,(O31-$N31)/Q31)),0,MAX(0,(O31-$N31)/Q31)))</f>
        <v>0.90000000000000036</v>
      </c>
      <c r="Q31" s="315">
        <f>O31/$N$22</f>
        <v>2</v>
      </c>
    </row>
    <row r="32" spans="1:22" s="36" customFormat="1" ht="12" x14ac:dyDescent="0.2">
      <c r="A32" s="80" t="s">
        <v>118</v>
      </c>
      <c r="B32" s="28">
        <v>0.7</v>
      </c>
      <c r="C32" s="28">
        <v>0.8</v>
      </c>
      <c r="D32" s="28">
        <v>1</v>
      </c>
      <c r="E32" s="28">
        <v>1</v>
      </c>
      <c r="F32" s="28">
        <v>0.7</v>
      </c>
      <c r="G32" s="268">
        <f t="shared" si="0"/>
        <v>19</v>
      </c>
      <c r="H32" s="210"/>
      <c r="M32" s="306" t="str">
        <f>A51</f>
        <v>Ready MK 103 Sets</v>
      </c>
      <c r="N32" s="296">
        <v>2</v>
      </c>
      <c r="O32" s="287">
        <f>HLOOKUP($N$20,$B$14:$G$59,G51,FALSE)</f>
        <v>2.4000000000000004</v>
      </c>
      <c r="P32" s="308">
        <f t="shared" ref="P32:P36" si="3">IF(Q32&lt;=1,IF(ISERROR(MAX(0,$O32-N32)),0,MAX(0,$O32-N32)),IF(ISERROR(MAX(0,(O32-$N32)/Q32)),0,MAX(0,(O32-$N32)/Q32)))</f>
        <v>0.40000000000000036</v>
      </c>
      <c r="Q32" s="315">
        <f t="shared" ref="Q32:Q36" si="4">O32/$N$22</f>
        <v>1</v>
      </c>
    </row>
    <row r="33" spans="1:35" s="36" customFormat="1" ht="12" x14ac:dyDescent="0.2">
      <c r="A33" s="80" t="s">
        <v>119</v>
      </c>
      <c r="B33" s="156">
        <f>B32*0.8</f>
        <v>0.55999999999999994</v>
      </c>
      <c r="C33" s="156">
        <f t="shared" ref="C33:F33" si="5">C32*0.8</f>
        <v>0.64000000000000012</v>
      </c>
      <c r="D33" s="156">
        <f t="shared" si="5"/>
        <v>0.8</v>
      </c>
      <c r="E33" s="156">
        <f t="shared" si="5"/>
        <v>0.8</v>
      </c>
      <c r="F33" s="156">
        <f t="shared" si="5"/>
        <v>0.55999999999999994</v>
      </c>
      <c r="G33" s="268">
        <f t="shared" si="0"/>
        <v>20</v>
      </c>
      <c r="H33" s="81"/>
      <c r="M33" s="306" t="str">
        <f>A53</f>
        <v>Ready MK 104 Sets</v>
      </c>
      <c r="N33" s="296">
        <v>1</v>
      </c>
      <c r="O33" s="287">
        <f>HLOOKUP($N$20,$B$14:$G$59,G53,FALSE)</f>
        <v>1.2000000000000002</v>
      </c>
      <c r="P33" s="308">
        <f t="shared" si="3"/>
        <v>0.20000000000000018</v>
      </c>
      <c r="Q33" s="315">
        <f t="shared" si="4"/>
        <v>0.5</v>
      </c>
    </row>
    <row r="34" spans="1:35" s="36" customFormat="1" ht="12" x14ac:dyDescent="0.2">
      <c r="A34" s="80" t="s">
        <v>120</v>
      </c>
      <c r="B34" s="70">
        <f>((B36*$B$145)/$B$2)</f>
        <v>0.26634931585604232</v>
      </c>
      <c r="C34" s="70">
        <f>((C36*$B$145)/$B$2)</f>
        <v>0.30439921812119131</v>
      </c>
      <c r="D34" s="70">
        <f>((D36*$B$145)/$B$2)</f>
        <v>0.3804990226514891</v>
      </c>
      <c r="E34" s="70">
        <f>((E36*$B$145)/$B$2)</f>
        <v>0.3804990226514891</v>
      </c>
      <c r="F34" s="70">
        <f>((F36*$B$145)/$B$2)</f>
        <v>0.39635314859530107</v>
      </c>
      <c r="G34" s="268">
        <f t="shared" si="0"/>
        <v>21</v>
      </c>
      <c r="H34" s="81"/>
      <c r="M34" s="306" t="str">
        <f>A55</f>
        <v>Ready MK 105 Sets</v>
      </c>
      <c r="N34" s="296">
        <v>2</v>
      </c>
      <c r="O34" s="287">
        <f>HLOOKUP($N$20,$B$14:$G$59,G55,FALSE)</f>
        <v>2.25</v>
      </c>
      <c r="P34" s="308">
        <f t="shared" si="3"/>
        <v>0.25</v>
      </c>
      <c r="Q34" s="315">
        <f t="shared" si="4"/>
        <v>0.93749999999999989</v>
      </c>
    </row>
    <row r="35" spans="1:35" s="36" customFormat="1" ht="12" x14ac:dyDescent="0.2">
      <c r="A35" s="78" t="s">
        <v>121</v>
      </c>
      <c r="B35" s="458">
        <f>PRODUCT($B$2,B$32)</f>
        <v>2.0999999999999996</v>
      </c>
      <c r="C35" s="458">
        <f>PRODUCT($B$2,C$32)</f>
        <v>2.4000000000000004</v>
      </c>
      <c r="D35" s="458">
        <f>PRODUCT($B$2,D$32)</f>
        <v>3</v>
      </c>
      <c r="E35" s="451">
        <f>PRODUCT($B$2,E$32)</f>
        <v>3</v>
      </c>
      <c r="F35" s="451">
        <f>PRODUCT($B$2,F$32)</f>
        <v>2.0999999999999996</v>
      </c>
      <c r="G35" s="268">
        <f t="shared" si="0"/>
        <v>22</v>
      </c>
      <c r="H35" s="116"/>
      <c r="M35" s="306" t="str">
        <f>A57</f>
        <v>Ready Q24 Sets</v>
      </c>
      <c r="N35" s="296">
        <v>2</v>
      </c>
      <c r="O35" s="287">
        <f>HLOOKUP($N$20,$B$14:$G$59,G57,FALSE)</f>
        <v>2.4000000000000004</v>
      </c>
      <c r="P35" s="308">
        <f t="shared" si="3"/>
        <v>0.40000000000000036</v>
      </c>
      <c r="Q35" s="315">
        <f t="shared" si="4"/>
        <v>1</v>
      </c>
    </row>
    <row r="36" spans="1:35" s="36" customFormat="1" ht="12" x14ac:dyDescent="0.2">
      <c r="A36" s="78" t="s">
        <v>122</v>
      </c>
      <c r="B36" s="470">
        <f>$B$2*B$33</f>
        <v>1.6799999999999997</v>
      </c>
      <c r="C36" s="470">
        <f>$B$2*C$33</f>
        <v>1.9200000000000004</v>
      </c>
      <c r="D36" s="470">
        <f>$B$2*D$33</f>
        <v>2.4000000000000004</v>
      </c>
      <c r="E36" s="450">
        <f>$B$2*E$33</f>
        <v>2.4000000000000004</v>
      </c>
      <c r="F36" s="450">
        <v>2.5</v>
      </c>
      <c r="G36" s="268">
        <f t="shared" si="0"/>
        <v>23</v>
      </c>
      <c r="H36" s="82"/>
      <c r="M36" s="306" t="str">
        <f>A59</f>
        <v>Ready MOP Sets</v>
      </c>
      <c r="N36" s="296">
        <v>1</v>
      </c>
      <c r="O36" s="287">
        <f>HLOOKUP($N$20,$B$14:$G$59,G59,FALSE)</f>
        <v>0.60000000000000009</v>
      </c>
      <c r="P36" s="308">
        <f t="shared" si="3"/>
        <v>0</v>
      </c>
      <c r="Q36" s="315">
        <f t="shared" si="4"/>
        <v>0.25</v>
      </c>
    </row>
    <row r="37" spans="1:35" s="36" customFormat="1" ht="12" x14ac:dyDescent="0.2">
      <c r="A37" s="527" t="s">
        <v>123</v>
      </c>
      <c r="B37" s="531">
        <f>B34*$B$2</f>
        <v>0.79904794756812692</v>
      </c>
      <c r="C37" s="531">
        <f>C34*$B$2</f>
        <v>0.91319765436357392</v>
      </c>
      <c r="D37" s="531">
        <f>D34*$B$2</f>
        <v>1.1414970679544674</v>
      </c>
      <c r="E37" s="531">
        <f>E34*$B$2</f>
        <v>1.1414970679544674</v>
      </c>
      <c r="F37" s="531">
        <f>F34*$B$2</f>
        <v>1.1890594457859032</v>
      </c>
      <c r="G37" s="268">
        <f t="shared" si="0"/>
        <v>24</v>
      </c>
      <c r="H37" s="82"/>
      <c r="L37" s="295"/>
      <c r="M37" s="295"/>
      <c r="N37" s="280"/>
      <c r="O37" s="280"/>
      <c r="P37" s="114"/>
      <c r="Q37" s="211"/>
    </row>
    <row r="38" spans="1:35" s="25" customFormat="1" x14ac:dyDescent="0.2">
      <c r="A38" s="232" t="s">
        <v>124</v>
      </c>
      <c r="B38" s="232"/>
      <c r="C38" s="317"/>
      <c r="D38" s="318"/>
      <c r="E38" s="307"/>
      <c r="F38" s="131"/>
      <c r="G38" s="268">
        <f t="shared" si="0"/>
        <v>25</v>
      </c>
      <c r="H38" s="82"/>
      <c r="I38" s="36"/>
      <c r="Q38" s="211"/>
      <c r="R38" s="36"/>
      <c r="S38" s="36"/>
      <c r="T38" s="36"/>
      <c r="U38" s="36"/>
      <c r="V38" s="36"/>
      <c r="W38" s="36"/>
      <c r="X38" s="36"/>
      <c r="Y38" s="36"/>
      <c r="Z38" s="36"/>
      <c r="AA38" s="36"/>
      <c r="AB38" s="36"/>
      <c r="AC38" s="36"/>
      <c r="AD38" s="36"/>
      <c r="AE38" s="36"/>
      <c r="AF38" s="36"/>
      <c r="AG38" s="36"/>
      <c r="AH38" s="36"/>
      <c r="AI38" s="36"/>
    </row>
    <row r="39" spans="1:35" s="25" customFormat="1" ht="12" x14ac:dyDescent="0.2">
      <c r="A39" s="446" t="s">
        <v>125</v>
      </c>
      <c r="B39" s="455">
        <f t="shared" ref="B39:F44" si="6">B$36*$B146</f>
        <v>0.30969989651604002</v>
      </c>
      <c r="C39" s="455">
        <f t="shared" si="6"/>
        <v>0.35394273887547445</v>
      </c>
      <c r="D39" s="455">
        <f t="shared" si="6"/>
        <v>0.44242842359434303</v>
      </c>
      <c r="E39" s="455">
        <f t="shared" si="6"/>
        <v>0.44242842359434303</v>
      </c>
      <c r="F39" s="455">
        <f t="shared" si="6"/>
        <v>0.46086294124410726</v>
      </c>
      <c r="G39" s="268">
        <f t="shared" si="0"/>
        <v>26</v>
      </c>
      <c r="H39" s="82"/>
      <c r="I39" s="36"/>
      <c r="Q39" s="211"/>
      <c r="R39" s="36"/>
      <c r="S39" s="36"/>
      <c r="T39" s="36"/>
      <c r="U39" s="36"/>
      <c r="V39" s="36"/>
      <c r="W39" s="36"/>
      <c r="X39" s="36"/>
      <c r="Y39" s="36"/>
      <c r="Z39" s="36"/>
      <c r="AA39" s="36"/>
      <c r="AB39" s="36"/>
      <c r="AC39" s="36"/>
      <c r="AD39" s="36"/>
      <c r="AE39" s="36"/>
      <c r="AF39" s="36"/>
      <c r="AG39" s="36"/>
      <c r="AH39" s="36"/>
      <c r="AI39" s="36"/>
    </row>
    <row r="40" spans="1:35" s="25" customFormat="1" ht="12" x14ac:dyDescent="0.2">
      <c r="A40" s="446" t="s">
        <v>126</v>
      </c>
      <c r="B40" s="455">
        <f t="shared" si="6"/>
        <v>0.29057606071058983</v>
      </c>
      <c r="C40" s="455">
        <f t="shared" si="6"/>
        <v>0.33208692652638849</v>
      </c>
      <c r="D40" s="455">
        <f t="shared" si="6"/>
        <v>0.41510865815798559</v>
      </c>
      <c r="E40" s="455">
        <f t="shared" si="6"/>
        <v>0.41510865815798559</v>
      </c>
      <c r="F40" s="455">
        <f t="shared" si="6"/>
        <v>0.43240485224790159</v>
      </c>
      <c r="G40" s="268">
        <f t="shared" si="0"/>
        <v>27</v>
      </c>
      <c r="H40" s="171"/>
      <c r="Q40" s="211"/>
      <c r="R40" s="36"/>
      <c r="S40" s="36"/>
      <c r="T40" s="36"/>
      <c r="U40" s="36"/>
      <c r="V40" s="36"/>
      <c r="W40" s="36"/>
      <c r="X40" s="36"/>
      <c r="Y40" s="36"/>
      <c r="Z40" s="36"/>
      <c r="AA40" s="36"/>
      <c r="AB40" s="36"/>
      <c r="AC40" s="36"/>
      <c r="AD40" s="36"/>
      <c r="AE40" s="36"/>
      <c r="AF40" s="36"/>
      <c r="AG40" s="36"/>
      <c r="AH40" s="36"/>
      <c r="AI40" s="36"/>
    </row>
    <row r="41" spans="1:35" s="25" customFormat="1" ht="12" x14ac:dyDescent="0.2">
      <c r="A41" s="446" t="s">
        <v>127</v>
      </c>
      <c r="B41" s="455">
        <f t="shared" si="6"/>
        <v>0.34901000344946531</v>
      </c>
      <c r="C41" s="455">
        <f t="shared" si="6"/>
        <v>0.39886857537081766</v>
      </c>
      <c r="D41" s="455">
        <f t="shared" si="6"/>
        <v>0.49858571921352202</v>
      </c>
      <c r="E41" s="455">
        <f t="shared" si="6"/>
        <v>0.49858571921352202</v>
      </c>
      <c r="F41" s="455">
        <f t="shared" si="6"/>
        <v>0.51936012418075206</v>
      </c>
      <c r="G41" s="268">
        <f t="shared" si="0"/>
        <v>28</v>
      </c>
      <c r="H41" s="82"/>
      <c r="Q41" s="211"/>
      <c r="R41" s="36"/>
      <c r="S41" s="36"/>
      <c r="T41" s="36"/>
      <c r="U41" s="36"/>
      <c r="V41" s="36"/>
      <c r="W41" s="36"/>
      <c r="X41" s="36"/>
      <c r="Y41" s="36"/>
      <c r="Z41" s="36"/>
      <c r="AA41" s="36"/>
      <c r="AB41" s="36"/>
      <c r="AC41" s="36"/>
      <c r="AD41" s="36"/>
      <c r="AE41" s="36"/>
      <c r="AF41" s="36"/>
      <c r="AG41" s="36"/>
      <c r="AH41" s="36"/>
      <c r="AI41" s="36"/>
    </row>
    <row r="42" spans="1:35" s="25" customFormat="1" ht="12" x14ac:dyDescent="0.2">
      <c r="A42" s="509" t="s">
        <v>128</v>
      </c>
      <c r="B42" s="455">
        <f t="shared" si="6"/>
        <v>0</v>
      </c>
      <c r="C42" s="455">
        <f t="shared" si="6"/>
        <v>0</v>
      </c>
      <c r="D42" s="455">
        <f t="shared" si="6"/>
        <v>0</v>
      </c>
      <c r="E42" s="455">
        <f t="shared" si="6"/>
        <v>0</v>
      </c>
      <c r="F42" s="455">
        <f t="shared" si="6"/>
        <v>0</v>
      </c>
      <c r="G42" s="268">
        <f t="shared" si="0"/>
        <v>29</v>
      </c>
      <c r="H42" s="82"/>
      <c r="Q42" s="211"/>
      <c r="R42" s="36"/>
      <c r="S42" s="36"/>
      <c r="T42" s="36"/>
      <c r="U42" s="36"/>
      <c r="V42" s="36"/>
      <c r="W42" s="36"/>
      <c r="X42" s="36"/>
      <c r="Y42" s="36"/>
      <c r="Z42" s="36"/>
      <c r="AA42" s="36"/>
      <c r="AB42" s="36"/>
      <c r="AC42" s="36"/>
      <c r="AD42" s="36"/>
      <c r="AE42" s="36"/>
      <c r="AF42" s="36"/>
      <c r="AG42" s="36"/>
      <c r="AH42" s="36"/>
      <c r="AI42" s="36"/>
    </row>
    <row r="43" spans="1:35" s="25" customFormat="1" ht="12" x14ac:dyDescent="0.2">
      <c r="A43" s="446" t="s">
        <v>129</v>
      </c>
      <c r="B43" s="455">
        <f t="shared" si="6"/>
        <v>0</v>
      </c>
      <c r="C43" s="455">
        <f t="shared" si="6"/>
        <v>0</v>
      </c>
      <c r="D43" s="455">
        <f t="shared" si="6"/>
        <v>0</v>
      </c>
      <c r="E43" s="455">
        <f t="shared" si="6"/>
        <v>0</v>
      </c>
      <c r="F43" s="455">
        <f t="shared" si="6"/>
        <v>0</v>
      </c>
      <c r="G43" s="268">
        <f t="shared" si="0"/>
        <v>30</v>
      </c>
      <c r="H43" s="82"/>
      <c r="Q43" s="211"/>
      <c r="R43" s="36"/>
      <c r="S43" s="36"/>
      <c r="T43" s="36"/>
      <c r="U43" s="36"/>
      <c r="V43" s="36"/>
      <c r="W43" s="36"/>
      <c r="X43" s="36"/>
      <c r="Y43" s="36"/>
      <c r="Z43" s="36"/>
      <c r="AA43" s="36"/>
      <c r="AB43" s="36"/>
      <c r="AC43" s="36"/>
      <c r="AD43" s="36"/>
      <c r="AE43" s="36"/>
      <c r="AF43" s="36"/>
      <c r="AG43" s="36"/>
      <c r="AH43" s="36"/>
      <c r="AI43" s="36"/>
    </row>
    <row r="44" spans="1:35" s="25" customFormat="1" ht="12" x14ac:dyDescent="0.2">
      <c r="A44" s="446" t="s">
        <v>130</v>
      </c>
      <c r="B44" s="455">
        <f t="shared" si="6"/>
        <v>0.31023111417730248</v>
      </c>
      <c r="C44" s="455">
        <f t="shared" si="6"/>
        <v>0.35454984477406015</v>
      </c>
      <c r="D44" s="455">
        <f t="shared" si="6"/>
        <v>0.44318730596757516</v>
      </c>
      <c r="E44" s="455">
        <f t="shared" si="6"/>
        <v>0.44318730596757516</v>
      </c>
      <c r="F44" s="455">
        <f t="shared" si="6"/>
        <v>0.46165344371622402</v>
      </c>
      <c r="G44" s="268">
        <f t="shared" si="0"/>
        <v>31</v>
      </c>
      <c r="H44" s="210"/>
      <c r="K44" s="211"/>
      <c r="Q44" s="211"/>
      <c r="R44" s="211"/>
      <c r="S44" s="211"/>
      <c r="T44" s="211"/>
      <c r="U44" s="211"/>
      <c r="V44" s="211"/>
    </row>
    <row r="45" spans="1:35" s="36" customFormat="1" ht="12" x14ac:dyDescent="0.2">
      <c r="A45" s="446" t="s">
        <v>131</v>
      </c>
      <c r="B45" s="455">
        <f>IF(B$13="Deploy",B$36,B$36*$B152)</f>
        <v>0.36813383925491544</v>
      </c>
      <c r="C45" s="455">
        <f>IF(C$13="Deploy",C$36,C$36*$B152)</f>
        <v>0.4207243877199035</v>
      </c>
      <c r="D45" s="455">
        <f>IF(D$13="Deploy",D$36,D$36*$B152)</f>
        <v>0.52590548464987941</v>
      </c>
      <c r="E45" s="455">
        <f>IF(E$13="Deploy",E$36,E$36*$B152)</f>
        <v>2.4000000000000004</v>
      </c>
      <c r="F45" s="455">
        <f>IF(F$13="Deploy",F$36,F$36*$B152)</f>
        <v>0.54781821317695756</v>
      </c>
      <c r="G45" s="268">
        <f t="shared" si="0"/>
        <v>32</v>
      </c>
      <c r="H45" s="211"/>
      <c r="I45" s="25"/>
      <c r="Q45" s="211"/>
    </row>
    <row r="46" spans="1:35" s="36" customFormat="1" x14ac:dyDescent="0.2">
      <c r="A46" s="510" t="s">
        <v>132</v>
      </c>
      <c r="B46" s="455">
        <f>B$36*$B153</f>
        <v>1.6799999999999997</v>
      </c>
      <c r="C46" s="455">
        <f>C$36*$B153</f>
        <v>1.9200000000000004</v>
      </c>
      <c r="D46" s="455">
        <f>D$36*$B153</f>
        <v>2.4000000000000004</v>
      </c>
      <c r="E46" s="455">
        <f>E$36*$B153</f>
        <v>2.4000000000000004</v>
      </c>
      <c r="F46" s="455">
        <f>F$36*$B153</f>
        <v>2.5</v>
      </c>
      <c r="G46" s="268">
        <f t="shared" si="0"/>
        <v>33</v>
      </c>
      <c r="H46" s="211"/>
      <c r="I46" s="211"/>
      <c r="Q46" s="211"/>
    </row>
    <row r="47" spans="1:35" s="36" customFormat="1" x14ac:dyDescent="0.2">
      <c r="A47" s="245" t="s">
        <v>133</v>
      </c>
      <c r="B47" s="459"/>
      <c r="C47" s="460"/>
      <c r="D47" s="461"/>
      <c r="E47" s="462"/>
      <c r="F47" s="463"/>
      <c r="G47" s="268">
        <f t="shared" si="0"/>
        <v>34</v>
      </c>
      <c r="H47" s="211"/>
      <c r="L47" s="299"/>
      <c r="M47" s="298"/>
      <c r="N47" s="299"/>
      <c r="O47" s="299"/>
      <c r="P47" s="81"/>
      <c r="Q47" s="211"/>
    </row>
    <row r="48" spans="1:35" s="36" customFormat="1" ht="12" x14ac:dyDescent="0.2">
      <c r="A48" s="147" t="s">
        <v>134</v>
      </c>
      <c r="B48" s="456">
        <f t="shared" ref="B48:C48" si="7">B$35*2</f>
        <v>4.1999999999999993</v>
      </c>
      <c r="C48" s="456">
        <f t="shared" si="7"/>
        <v>4.8000000000000007</v>
      </c>
      <c r="D48" s="456">
        <f>D$35*2</f>
        <v>6</v>
      </c>
      <c r="E48" s="456">
        <f>E35*2</f>
        <v>6</v>
      </c>
      <c r="F48" s="456">
        <f>F$35*2</f>
        <v>4.1999999999999993</v>
      </c>
      <c r="G48" s="268">
        <f t="shared" si="0"/>
        <v>35</v>
      </c>
      <c r="H48" s="211"/>
      <c r="L48" s="299"/>
      <c r="M48" s="299"/>
      <c r="N48" s="299"/>
      <c r="O48" s="299"/>
      <c r="P48" s="299"/>
      <c r="Q48" s="211"/>
    </row>
    <row r="49" spans="1:35" s="36" customFormat="1" ht="12" x14ac:dyDescent="0.2">
      <c r="A49" s="42" t="s">
        <v>135</v>
      </c>
      <c r="B49" s="464">
        <f t="shared" ref="B49:C49" si="8">B48*B$33</f>
        <v>2.3519999999999994</v>
      </c>
      <c r="C49" s="464">
        <f t="shared" si="8"/>
        <v>3.072000000000001</v>
      </c>
      <c r="D49" s="464">
        <f>D48*D$33</f>
        <v>4.8000000000000007</v>
      </c>
      <c r="E49" s="464">
        <f>E48*E33</f>
        <v>4.8000000000000007</v>
      </c>
      <c r="F49" s="451">
        <f>F$33*F48</f>
        <v>2.3519999999999994</v>
      </c>
      <c r="G49" s="268">
        <f t="shared" si="0"/>
        <v>36</v>
      </c>
      <c r="H49" s="211"/>
      <c r="L49" s="299"/>
      <c r="M49" s="669"/>
      <c r="N49" s="669"/>
      <c r="O49" s="655"/>
      <c r="P49" s="299"/>
      <c r="Q49" s="211"/>
    </row>
    <row r="50" spans="1:35" s="36" customFormat="1" ht="12" x14ac:dyDescent="0.2">
      <c r="A50" s="147" t="s">
        <v>136</v>
      </c>
      <c r="B50" s="456">
        <f t="shared" ref="B50:C50" si="9">B$35*1</f>
        <v>2.0999999999999996</v>
      </c>
      <c r="C50" s="456">
        <f t="shared" si="9"/>
        <v>2.4000000000000004</v>
      </c>
      <c r="D50" s="456">
        <f>D$35*1</f>
        <v>3</v>
      </c>
      <c r="E50" s="456">
        <f>E35*1</f>
        <v>3</v>
      </c>
      <c r="F50" s="457">
        <f>F$35*1</f>
        <v>2.0999999999999996</v>
      </c>
      <c r="G50" s="268">
        <f t="shared" si="0"/>
        <v>37</v>
      </c>
      <c r="H50" s="211"/>
      <c r="J50" s="35"/>
      <c r="L50" s="299"/>
      <c r="M50" s="295"/>
      <c r="N50" s="280"/>
      <c r="O50" s="280"/>
      <c r="P50" s="299"/>
      <c r="Q50" s="211"/>
    </row>
    <row r="51" spans="1:35" s="36" customFormat="1" ht="12" x14ac:dyDescent="0.2">
      <c r="A51" s="42" t="s">
        <v>137</v>
      </c>
      <c r="B51" s="451">
        <f t="shared" ref="B51:C51" si="10">B50*B$33</f>
        <v>1.1759999999999997</v>
      </c>
      <c r="C51" s="451">
        <f t="shared" si="10"/>
        <v>1.5360000000000005</v>
      </c>
      <c r="D51" s="451">
        <f>D50*D$33</f>
        <v>2.4000000000000004</v>
      </c>
      <c r="E51" s="458">
        <f>E50*E33</f>
        <v>2.4000000000000004</v>
      </c>
      <c r="F51" s="458">
        <f>F$33*F50</f>
        <v>1.1759999999999997</v>
      </c>
      <c r="G51" s="268">
        <f t="shared" si="0"/>
        <v>38</v>
      </c>
      <c r="H51" s="211"/>
      <c r="J51" s="302"/>
      <c r="K51" s="211"/>
      <c r="L51" s="299"/>
      <c r="M51" s="300"/>
      <c r="N51" s="280"/>
      <c r="O51" s="280"/>
      <c r="P51" s="299"/>
      <c r="Q51" s="211"/>
    </row>
    <row r="52" spans="1:35" s="36" customFormat="1" ht="12" x14ac:dyDescent="0.2">
      <c r="A52" s="147" t="s">
        <v>138</v>
      </c>
      <c r="B52" s="457">
        <v>0</v>
      </c>
      <c r="C52" s="457">
        <v>1</v>
      </c>
      <c r="D52" s="457">
        <v>2</v>
      </c>
      <c r="E52" s="457">
        <f>E35*0.5</f>
        <v>1.5</v>
      </c>
      <c r="F52" s="457">
        <f>F$35*0.5</f>
        <v>1.0499999999999998</v>
      </c>
      <c r="G52" s="268">
        <f t="shared" si="0"/>
        <v>39</v>
      </c>
      <c r="H52" s="25"/>
      <c r="I52" s="35"/>
      <c r="J52" s="303"/>
      <c r="K52" s="43"/>
      <c r="L52" s="295"/>
      <c r="M52" s="295"/>
      <c r="N52" s="280"/>
      <c r="O52" s="280"/>
      <c r="P52" s="299"/>
      <c r="Q52" s="211"/>
    </row>
    <row r="53" spans="1:35" s="36" customFormat="1" ht="12" x14ac:dyDescent="0.2">
      <c r="A53" s="42" t="s">
        <v>139</v>
      </c>
      <c r="B53" s="451">
        <f t="shared" ref="B53:C53" si="11">B52*B$33</f>
        <v>0</v>
      </c>
      <c r="C53" s="451">
        <f t="shared" si="11"/>
        <v>0.64000000000000012</v>
      </c>
      <c r="D53" s="451">
        <f>D52*D$33</f>
        <v>1.6</v>
      </c>
      <c r="E53" s="458">
        <f>E52*E33</f>
        <v>1.2000000000000002</v>
      </c>
      <c r="F53" s="458">
        <f>F$33*F52</f>
        <v>0.58799999999999986</v>
      </c>
      <c r="G53" s="268">
        <f t="shared" si="0"/>
        <v>40</v>
      </c>
      <c r="H53" s="25"/>
      <c r="I53" s="302"/>
      <c r="J53" s="302"/>
      <c r="K53" s="211"/>
      <c r="L53" s="295"/>
      <c r="M53" s="300"/>
      <c r="N53" s="280"/>
      <c r="O53" s="280"/>
      <c r="P53" s="299"/>
      <c r="Q53" s="211"/>
    </row>
    <row r="54" spans="1:35" s="36" customFormat="1" ht="12" x14ac:dyDescent="0.2">
      <c r="A54" s="147" t="s">
        <v>140</v>
      </c>
      <c r="B54" s="457">
        <v>0</v>
      </c>
      <c r="C54" s="457">
        <v>0</v>
      </c>
      <c r="D54" s="457">
        <v>1</v>
      </c>
      <c r="E54" s="457">
        <v>3</v>
      </c>
      <c r="F54" s="457">
        <v>1.8</v>
      </c>
      <c r="G54" s="268">
        <f t="shared" si="0"/>
        <v>41</v>
      </c>
      <c r="H54" s="25"/>
      <c r="I54" s="303"/>
      <c r="J54" s="303"/>
      <c r="K54" s="43"/>
      <c r="L54" s="295"/>
      <c r="M54" s="295"/>
      <c r="N54" s="280"/>
      <c r="O54" s="280"/>
      <c r="P54" s="299"/>
      <c r="Q54" s="211"/>
    </row>
    <row r="55" spans="1:35" s="36" customFormat="1" ht="12" x14ac:dyDescent="0.2">
      <c r="A55" s="42" t="s">
        <v>141</v>
      </c>
      <c r="B55" s="451">
        <f t="shared" ref="B55:C55" si="12">B54*B$33</f>
        <v>0</v>
      </c>
      <c r="C55" s="451">
        <f t="shared" si="12"/>
        <v>0</v>
      </c>
      <c r="D55" s="451">
        <f>D54*D$33</f>
        <v>0.8</v>
      </c>
      <c r="E55" s="458">
        <f>E54*0.75</f>
        <v>2.25</v>
      </c>
      <c r="F55" s="458">
        <f>F54*0.75</f>
        <v>1.35</v>
      </c>
      <c r="G55" s="268">
        <f t="shared" si="0"/>
        <v>42</v>
      </c>
      <c r="H55" s="25"/>
      <c r="I55" s="302"/>
      <c r="J55" s="302"/>
      <c r="K55" s="211"/>
      <c r="L55" s="295"/>
      <c r="M55" s="300"/>
      <c r="N55" s="280"/>
      <c r="O55" s="280"/>
      <c r="P55" s="299"/>
      <c r="Q55" s="211"/>
    </row>
    <row r="56" spans="1:35" s="36" customFormat="1" ht="12" x14ac:dyDescent="0.2">
      <c r="A56" s="147" t="s">
        <v>142</v>
      </c>
      <c r="B56" s="457">
        <v>0</v>
      </c>
      <c r="C56" s="457">
        <v>0</v>
      </c>
      <c r="D56" s="457">
        <v>1</v>
      </c>
      <c r="E56" s="457">
        <f>E35*1</f>
        <v>3</v>
      </c>
      <c r="F56" s="457">
        <f>F35*1</f>
        <v>2.0999999999999996</v>
      </c>
      <c r="G56" s="268">
        <f t="shared" si="0"/>
        <v>43</v>
      </c>
      <c r="H56" s="25"/>
      <c r="I56" s="303"/>
      <c r="J56" s="303"/>
      <c r="K56" s="43"/>
      <c r="L56" s="295"/>
      <c r="M56" s="295"/>
      <c r="N56" s="280"/>
      <c r="O56" s="280"/>
      <c r="P56" s="299"/>
      <c r="Q56" s="211"/>
    </row>
    <row r="57" spans="1:35" s="36" customFormat="1" ht="12" x14ac:dyDescent="0.2">
      <c r="A57" s="42" t="s">
        <v>143</v>
      </c>
      <c r="B57" s="451">
        <f t="shared" ref="B57:C57" si="13">B56*B$33</f>
        <v>0</v>
      </c>
      <c r="C57" s="451">
        <f t="shared" si="13"/>
        <v>0</v>
      </c>
      <c r="D57" s="451">
        <f>D56*D$33</f>
        <v>0.8</v>
      </c>
      <c r="E57" s="458">
        <f>E56*E33</f>
        <v>2.4000000000000004</v>
      </c>
      <c r="F57" s="458">
        <f>F56*F33</f>
        <v>1.1759999999999997</v>
      </c>
      <c r="G57" s="268">
        <f t="shared" si="0"/>
        <v>44</v>
      </c>
      <c r="H57" s="25"/>
      <c r="I57" s="302"/>
      <c r="J57" s="302"/>
      <c r="K57" s="211"/>
      <c r="L57" s="295"/>
      <c r="M57" s="300"/>
      <c r="N57" s="280"/>
      <c r="O57" s="280"/>
      <c r="P57" s="299"/>
      <c r="Q57" s="211"/>
    </row>
    <row r="58" spans="1:35" s="36" customFormat="1" ht="12" x14ac:dyDescent="0.2">
      <c r="A58" s="147" t="s">
        <v>144</v>
      </c>
      <c r="B58" s="457">
        <v>0</v>
      </c>
      <c r="C58" s="457">
        <v>1</v>
      </c>
      <c r="D58" s="457">
        <v>2</v>
      </c>
      <c r="E58" s="457">
        <f>$E35*0.25</f>
        <v>0.75</v>
      </c>
      <c r="F58" s="457">
        <f>$E35*0.25</f>
        <v>0.75</v>
      </c>
      <c r="G58" s="268">
        <f t="shared" si="0"/>
        <v>45</v>
      </c>
      <c r="H58" s="25"/>
      <c r="I58" s="303"/>
      <c r="J58" s="303"/>
      <c r="K58" s="43"/>
      <c r="L58" s="295"/>
      <c r="M58" s="295"/>
      <c r="N58" s="280"/>
      <c r="O58" s="280"/>
      <c r="P58" s="299"/>
      <c r="Q58" s="211"/>
    </row>
    <row r="59" spans="1:35" s="36" customFormat="1" ht="12" x14ac:dyDescent="0.2">
      <c r="A59" s="42" t="s">
        <v>145</v>
      </c>
      <c r="B59" s="451">
        <f t="shared" ref="B59:C59" si="14">B58*B$33</f>
        <v>0</v>
      </c>
      <c r="C59" s="451">
        <f t="shared" si="14"/>
        <v>0.64000000000000012</v>
      </c>
      <c r="D59" s="451">
        <f>D58*D$33</f>
        <v>1.6</v>
      </c>
      <c r="E59" s="458">
        <f>E58*E33</f>
        <v>0.60000000000000009</v>
      </c>
      <c r="F59" s="458">
        <f>F58*F33</f>
        <v>0.41999999999999993</v>
      </c>
      <c r="G59" s="268">
        <f t="shared" si="0"/>
        <v>46</v>
      </c>
      <c r="H59" s="25"/>
      <c r="I59" s="302"/>
      <c r="J59" s="302"/>
      <c r="K59" s="211"/>
      <c r="L59" s="295"/>
      <c r="M59" s="300"/>
      <c r="N59" s="280"/>
      <c r="O59" s="280"/>
      <c r="P59" s="299"/>
      <c r="Q59" s="211"/>
    </row>
    <row r="60" spans="1:35" s="25" customFormat="1" x14ac:dyDescent="0.2">
      <c r="A60" s="232" t="s">
        <v>146</v>
      </c>
      <c r="B60" s="232"/>
      <c r="C60" s="317"/>
      <c r="D60" s="318"/>
      <c r="E60" s="307"/>
      <c r="F60" s="131"/>
      <c r="G60" s="180"/>
      <c r="I60" s="303"/>
      <c r="J60" s="304"/>
      <c r="K60" s="22"/>
      <c r="L60" s="295"/>
      <c r="M60" s="295"/>
      <c r="N60" s="280"/>
      <c r="O60" s="280"/>
      <c r="P60" s="299"/>
      <c r="Q60" s="211"/>
      <c r="R60" s="36"/>
      <c r="S60" s="36"/>
      <c r="T60" s="36"/>
      <c r="U60" s="36"/>
      <c r="V60" s="36"/>
      <c r="W60" s="36"/>
      <c r="X60" s="36"/>
      <c r="Y60" s="36"/>
      <c r="Z60" s="36"/>
      <c r="AA60" s="36"/>
      <c r="AB60" s="36"/>
      <c r="AC60" s="36"/>
      <c r="AD60" s="36"/>
      <c r="AE60" s="36"/>
      <c r="AF60" s="36"/>
      <c r="AG60" s="36"/>
      <c r="AH60" s="36"/>
      <c r="AI60" s="36"/>
    </row>
    <row r="61" spans="1:35" s="25" customFormat="1" ht="12" x14ac:dyDescent="0.2">
      <c r="A61" s="1" t="str">
        <f>A96</f>
        <v>Pilot Upper Limit</v>
      </c>
      <c r="B61" s="165">
        <f>$B$96</f>
        <v>6</v>
      </c>
      <c r="C61" s="165">
        <f>$B$96</f>
        <v>6</v>
      </c>
      <c r="D61" s="165">
        <f>$B$96</f>
        <v>6</v>
      </c>
      <c r="E61" s="2">
        <f>$B$96</f>
        <v>6</v>
      </c>
      <c r="F61" s="2">
        <f>$B$96</f>
        <v>6</v>
      </c>
      <c r="G61" s="172"/>
      <c r="I61" s="302"/>
      <c r="J61" s="302"/>
      <c r="K61" s="211"/>
      <c r="L61" s="295"/>
      <c r="M61" s="300"/>
      <c r="N61" s="280"/>
      <c r="O61" s="280"/>
      <c r="P61" s="299"/>
      <c r="Q61" s="211"/>
      <c r="R61" s="36"/>
      <c r="S61" s="36"/>
      <c r="T61" s="36"/>
      <c r="U61" s="36"/>
      <c r="V61" s="36"/>
      <c r="W61" s="36"/>
      <c r="X61" s="36"/>
      <c r="Y61" s="36"/>
      <c r="Z61" s="36"/>
      <c r="AA61" s="36"/>
      <c r="AB61" s="36"/>
      <c r="AC61" s="36"/>
      <c r="AD61" s="36"/>
      <c r="AE61" s="36"/>
      <c r="AF61" s="36"/>
      <c r="AG61" s="36"/>
      <c r="AH61" s="36"/>
      <c r="AI61" s="36"/>
    </row>
    <row r="62" spans="1:35" s="25" customFormat="1" ht="12" x14ac:dyDescent="0.2">
      <c r="A62" s="3" t="str">
        <f t="shared" ref="A62:A74" si="15">A97</f>
        <v>Pilot Lower Limit</v>
      </c>
      <c r="B62" s="149">
        <f>ROUNDUP(IF(B$13="DEPLOY",MAX((B$90/100)*$B96,$B96),(B$90/100)*$B96),0)</f>
        <v>1</v>
      </c>
      <c r="C62" s="149">
        <f>ROUNDUP(IF(C$13="DEPLOY",MAX((C$90/100)*$B96,$B96),(C$90/100)*$B96),0)</f>
        <v>2</v>
      </c>
      <c r="D62" s="149">
        <f>ROUNDUP(IF(D$13="DEPLOY",MAX((D$90/100)*$B96,$B96),(D$90/100)*$B96),0)</f>
        <v>5</v>
      </c>
      <c r="E62" s="27">
        <f>ROUNDUP(IF(E$13="Deploy",MAX((E$90/100)*$B96,$B96),(E$90/100)*$B96),0)</f>
        <v>6</v>
      </c>
      <c r="F62" s="27">
        <f>ROUNDUP(IF(F$13="Deploy",MAX((F$90/100)*$B96,$B96),(F$90/100)*$B96),0)</f>
        <v>3</v>
      </c>
      <c r="G62" s="172"/>
      <c r="I62" s="304"/>
      <c r="J62" s="22"/>
      <c r="K62" s="22"/>
      <c r="L62" s="295"/>
      <c r="M62" s="655"/>
      <c r="N62" s="655"/>
      <c r="O62" s="655"/>
      <c r="P62" s="299"/>
      <c r="Q62" s="211"/>
      <c r="R62" s="36"/>
      <c r="S62" s="36"/>
      <c r="T62" s="36"/>
      <c r="U62" s="36"/>
      <c r="V62" s="36"/>
      <c r="W62" s="36"/>
      <c r="X62" s="36"/>
      <c r="Y62" s="36"/>
      <c r="Z62" s="36"/>
      <c r="AA62" s="36"/>
      <c r="AB62" s="36"/>
      <c r="AC62" s="36"/>
      <c r="AD62" s="36"/>
      <c r="AE62" s="36"/>
      <c r="AF62" s="36"/>
      <c r="AG62" s="36"/>
      <c r="AH62" s="36"/>
      <c r="AI62" s="36"/>
    </row>
    <row r="63" spans="1:35" s="25" customFormat="1" ht="12" x14ac:dyDescent="0.2">
      <c r="A63" s="29" t="str">
        <f t="shared" si="15"/>
        <v>Aircrew Upper Limit</v>
      </c>
      <c r="B63" s="166">
        <f>$B$98</f>
        <v>12</v>
      </c>
      <c r="C63" s="166">
        <f>$B$98</f>
        <v>12</v>
      </c>
      <c r="D63" s="166">
        <f>$B$98</f>
        <v>12</v>
      </c>
      <c r="E63" s="4">
        <f>$B$98</f>
        <v>12</v>
      </c>
      <c r="F63" s="4">
        <f>$B$98</f>
        <v>12</v>
      </c>
      <c r="G63" s="172"/>
      <c r="I63" s="302"/>
      <c r="J63" s="21"/>
      <c r="K63" s="21"/>
      <c r="L63" s="299"/>
      <c r="M63" s="280"/>
      <c r="N63" s="280"/>
      <c r="O63" s="280"/>
      <c r="P63" s="299"/>
      <c r="Q63" s="211"/>
      <c r="R63" s="36"/>
      <c r="S63" s="36"/>
      <c r="T63" s="36"/>
      <c r="U63" s="36"/>
      <c r="V63" s="36"/>
      <c r="W63" s="36"/>
      <c r="X63" s="36"/>
      <c r="Y63" s="36"/>
      <c r="Z63" s="36"/>
      <c r="AA63" s="36"/>
      <c r="AB63" s="36"/>
      <c r="AC63" s="36"/>
      <c r="AD63" s="36"/>
      <c r="AE63" s="36"/>
      <c r="AF63" s="36"/>
      <c r="AG63" s="36"/>
      <c r="AH63" s="36"/>
      <c r="AI63" s="36"/>
    </row>
    <row r="64" spans="1:35" s="25" customFormat="1" ht="12" x14ac:dyDescent="0.2">
      <c r="A64" s="3" t="str">
        <f t="shared" si="15"/>
        <v>Aircrew Lower Limit</v>
      </c>
      <c r="B64" s="149">
        <f>ROUNDUP(IF(B$13="DEPLOY",MAX((B$90/100)*$B98,$B98),(B$90/100)*$B98),0)</f>
        <v>1</v>
      </c>
      <c r="C64" s="149">
        <f>ROUNDUP(IF(C$13="DEPLOY",MAX((C$90/100)*$B98,$B98),(C$90/100)*$B98),0)</f>
        <v>3</v>
      </c>
      <c r="D64" s="149">
        <f>ROUNDUP(IF(D$13="DEPLOY",MAX((D$90/100)*$B98,$B98),(D$90/100)*$B98),0)</f>
        <v>10</v>
      </c>
      <c r="E64" s="27">
        <f>ROUNDUP(IF(E$13="Deploy",MAX((E$90/100)*$B98,$B98),(E$90/100)*$B98),0)</f>
        <v>12</v>
      </c>
      <c r="F64" s="27">
        <f>ROUNDUP(IF(F$13="Deploy",MAX((F$90/100)*$B98,$B98),(F$90/100)*$B98),0)</f>
        <v>5</v>
      </c>
      <c r="G64" s="172"/>
      <c r="H64" s="180"/>
      <c r="I64" s="22"/>
      <c r="J64" s="22"/>
      <c r="K64" s="22"/>
      <c r="L64" s="299"/>
      <c r="M64" s="299"/>
      <c r="N64" s="299"/>
      <c r="O64" s="299"/>
      <c r="P64" s="299"/>
      <c r="Q64" s="211"/>
      <c r="R64" s="36"/>
      <c r="S64" s="36"/>
      <c r="T64" s="36"/>
      <c r="U64" s="36"/>
      <c r="V64" s="36"/>
      <c r="W64" s="36"/>
      <c r="X64" s="36"/>
      <c r="Y64" s="36"/>
      <c r="Z64" s="36"/>
      <c r="AA64" s="36"/>
      <c r="AB64" s="36"/>
      <c r="AC64" s="36"/>
      <c r="AD64" s="36"/>
      <c r="AE64" s="36"/>
      <c r="AF64" s="36"/>
      <c r="AG64" s="36"/>
      <c r="AH64" s="36"/>
      <c r="AI64" s="36"/>
    </row>
    <row r="65" spans="1:35" s="25" customFormat="1" ht="12" x14ac:dyDescent="0.2">
      <c r="A65" s="3" t="str">
        <f t="shared" si="15"/>
        <v>&gt;= ACTC LEVEL 3 PILOT - MIW</v>
      </c>
      <c r="B65" s="149">
        <f t="shared" ref="B65:D75" si="16">ROUNDUP(IF(B$13="DEPLOY",MAX((B$90/100)*$B100,$B100),(B$90/100)*$B100),0)</f>
        <v>1</v>
      </c>
      <c r="C65" s="149">
        <f t="shared" si="16"/>
        <v>1</v>
      </c>
      <c r="D65" s="149">
        <f t="shared" si="16"/>
        <v>3</v>
      </c>
      <c r="E65" s="27">
        <f t="shared" ref="E65:F72" si="17">ROUNDUP(IF(E$13="Deploy",MAX((E$90/100)*$B100,$B100),(E$90/100)*$B100),0)</f>
        <v>3</v>
      </c>
      <c r="F65" s="27">
        <f t="shared" si="17"/>
        <v>2</v>
      </c>
      <c r="G65" s="172"/>
      <c r="H65" s="172"/>
      <c r="I65" s="21"/>
      <c r="J65" s="22"/>
      <c r="K65" s="22"/>
      <c r="L65" s="81"/>
      <c r="M65" s="299"/>
      <c r="N65" s="280"/>
      <c r="O65" s="280"/>
      <c r="P65" s="299"/>
      <c r="Q65" s="211"/>
      <c r="R65" s="36"/>
      <c r="S65" s="36"/>
      <c r="T65" s="36"/>
      <c r="U65" s="36"/>
      <c r="V65" s="36"/>
      <c r="W65" s="36"/>
      <c r="X65" s="36"/>
      <c r="Y65" s="36"/>
      <c r="Z65" s="36"/>
      <c r="AA65" s="36"/>
      <c r="AB65" s="36"/>
      <c r="AC65" s="36"/>
      <c r="AD65" s="36"/>
      <c r="AE65" s="36"/>
      <c r="AF65" s="36"/>
      <c r="AG65" s="36"/>
      <c r="AH65" s="36"/>
      <c r="AI65" s="36"/>
    </row>
    <row r="66" spans="1:35" s="25" customFormat="1" ht="12" x14ac:dyDescent="0.2">
      <c r="A66" s="3" t="str">
        <f t="shared" si="15"/>
        <v>&gt;= ACTC LEVEL 3 PILOT - MOB/LOG</v>
      </c>
      <c r="B66" s="271">
        <f t="shared" si="16"/>
        <v>1</v>
      </c>
      <c r="C66" s="271">
        <f t="shared" si="16"/>
        <v>1</v>
      </c>
      <c r="D66" s="271">
        <f t="shared" si="16"/>
        <v>3</v>
      </c>
      <c r="E66" s="27">
        <f t="shared" si="17"/>
        <v>3</v>
      </c>
      <c r="F66" s="27">
        <f t="shared" si="17"/>
        <v>2</v>
      </c>
      <c r="G66" s="172"/>
      <c r="H66" s="172"/>
      <c r="I66" s="22"/>
      <c r="J66" s="22"/>
      <c r="K66" s="22"/>
      <c r="L66" s="299"/>
      <c r="M66" s="299"/>
      <c r="N66" s="299"/>
      <c r="O66" s="299"/>
      <c r="P66" s="299"/>
      <c r="Q66" s="211"/>
      <c r="R66" s="36"/>
      <c r="S66" s="36"/>
      <c r="T66" s="36"/>
      <c r="U66" s="36"/>
      <c r="V66" s="36"/>
      <c r="W66" s="36"/>
      <c r="X66" s="36"/>
      <c r="Y66" s="36"/>
      <c r="Z66" s="36"/>
      <c r="AA66" s="36"/>
      <c r="AB66" s="36"/>
      <c r="AC66" s="36"/>
      <c r="AD66" s="36"/>
      <c r="AE66" s="36"/>
      <c r="AF66" s="36"/>
      <c r="AG66" s="36"/>
      <c r="AH66" s="36"/>
      <c r="AI66" s="36"/>
    </row>
    <row r="67" spans="1:35" s="25" customFormat="1" ht="12" x14ac:dyDescent="0.2">
      <c r="A67" s="3" t="str">
        <f t="shared" si="15"/>
        <v>&gt;= ACTC LEVEL 3 NAC - MIW</v>
      </c>
      <c r="B67" s="149">
        <f t="shared" si="16"/>
        <v>1</v>
      </c>
      <c r="C67" s="149">
        <f t="shared" si="16"/>
        <v>1</v>
      </c>
      <c r="D67" s="149">
        <f t="shared" si="16"/>
        <v>3</v>
      </c>
      <c r="E67" s="27">
        <f t="shared" si="17"/>
        <v>3</v>
      </c>
      <c r="F67" s="27">
        <f t="shared" si="17"/>
        <v>2</v>
      </c>
      <c r="G67" s="172"/>
      <c r="H67" s="172"/>
      <c r="I67" s="22"/>
      <c r="J67" s="22"/>
      <c r="K67" s="22"/>
      <c r="L67" s="295"/>
      <c r="M67" s="300"/>
      <c r="N67" s="280"/>
      <c r="O67" s="280"/>
      <c r="P67" s="299"/>
      <c r="Q67" s="211"/>
      <c r="R67" s="36"/>
      <c r="S67" s="36"/>
      <c r="T67" s="36"/>
      <c r="U67" s="36"/>
      <c r="V67" s="36"/>
      <c r="W67" s="36"/>
      <c r="X67" s="36"/>
      <c r="Y67" s="36"/>
      <c r="Z67" s="36"/>
      <c r="AA67" s="36"/>
      <c r="AB67" s="36"/>
      <c r="AC67" s="36"/>
      <c r="AD67" s="36"/>
      <c r="AE67" s="36"/>
      <c r="AF67" s="36"/>
      <c r="AG67" s="36"/>
      <c r="AH67" s="36"/>
      <c r="AI67" s="36"/>
    </row>
    <row r="68" spans="1:35" s="25" customFormat="1" ht="12" x14ac:dyDescent="0.2">
      <c r="A68" s="3" t="str">
        <f t="shared" si="15"/>
        <v>&gt;= ACTC LEVEL 3 NAC - MOB/LOG</v>
      </c>
      <c r="B68" s="149">
        <f t="shared" si="16"/>
        <v>1</v>
      </c>
      <c r="C68" s="149">
        <f t="shared" si="16"/>
        <v>1</v>
      </c>
      <c r="D68" s="149">
        <f t="shared" si="16"/>
        <v>3</v>
      </c>
      <c r="E68" s="27">
        <f t="shared" si="17"/>
        <v>3</v>
      </c>
      <c r="F68" s="27">
        <f t="shared" si="17"/>
        <v>2</v>
      </c>
      <c r="G68" s="172"/>
      <c r="H68" s="172"/>
      <c r="I68" s="22"/>
      <c r="J68" s="22"/>
      <c r="K68" s="22"/>
      <c r="L68" s="299"/>
      <c r="M68" s="300"/>
      <c r="N68" s="280"/>
      <c r="O68" s="280"/>
      <c r="P68" s="299"/>
      <c r="Q68" s="211"/>
      <c r="R68" s="36"/>
      <c r="S68" s="36"/>
      <c r="T68" s="36"/>
      <c r="U68" s="36"/>
      <c r="V68" s="36"/>
      <c r="W68" s="36"/>
      <c r="X68" s="36"/>
      <c r="Y68" s="36"/>
      <c r="Z68" s="36"/>
      <c r="AA68" s="36"/>
      <c r="AB68" s="36"/>
      <c r="AC68" s="36"/>
      <c r="AD68" s="36"/>
      <c r="AE68" s="36"/>
      <c r="AF68" s="36"/>
      <c r="AG68" s="36"/>
      <c r="AH68" s="36"/>
      <c r="AI68" s="36"/>
    </row>
    <row r="69" spans="1:35" s="25" customFormat="1" x14ac:dyDescent="0.2">
      <c r="A69" s="3" t="str">
        <f t="shared" si="15"/>
        <v>&gt;= ACTC LEVEL 2 PILOT</v>
      </c>
      <c r="B69" s="149">
        <f t="shared" si="16"/>
        <v>1</v>
      </c>
      <c r="C69" s="149">
        <f t="shared" si="16"/>
        <v>1</v>
      </c>
      <c r="D69" s="149">
        <f t="shared" si="16"/>
        <v>3</v>
      </c>
      <c r="E69" s="27">
        <f t="shared" si="17"/>
        <v>3</v>
      </c>
      <c r="F69" s="27">
        <f t="shared" si="17"/>
        <v>2</v>
      </c>
      <c r="G69" s="172"/>
      <c r="H69" s="172"/>
      <c r="I69" s="22"/>
      <c r="J69" s="22"/>
      <c r="K69" s="22"/>
      <c r="L69" s="299"/>
      <c r="M69" s="299"/>
      <c r="N69" s="280"/>
      <c r="O69" s="114"/>
      <c r="P69" s="105"/>
      <c r="Q69" s="211"/>
      <c r="R69" s="36"/>
      <c r="S69" s="36"/>
      <c r="T69" s="36"/>
      <c r="U69" s="36"/>
      <c r="V69" s="36"/>
      <c r="W69" s="36"/>
      <c r="X69" s="36"/>
      <c r="Y69" s="36"/>
      <c r="Z69" s="36"/>
      <c r="AA69" s="36"/>
      <c r="AB69" s="36"/>
      <c r="AC69" s="36"/>
      <c r="AD69" s="36"/>
      <c r="AE69" s="36"/>
      <c r="AF69" s="36"/>
      <c r="AG69" s="36"/>
      <c r="AH69" s="36"/>
      <c r="AI69" s="36"/>
    </row>
    <row r="70" spans="1:35" s="25" customFormat="1" x14ac:dyDescent="0.2">
      <c r="A70" s="3" t="str">
        <f t="shared" si="15"/>
        <v>&gt;= ACTC LEVEL 2 NAC</v>
      </c>
      <c r="B70" s="149">
        <f t="shared" si="16"/>
        <v>1</v>
      </c>
      <c r="C70" s="149">
        <f t="shared" si="16"/>
        <v>1</v>
      </c>
      <c r="D70" s="149">
        <f t="shared" si="16"/>
        <v>3</v>
      </c>
      <c r="E70" s="27">
        <f t="shared" si="17"/>
        <v>3</v>
      </c>
      <c r="F70" s="27">
        <f t="shared" si="17"/>
        <v>2</v>
      </c>
      <c r="G70" s="172"/>
      <c r="H70" s="172"/>
      <c r="I70" s="22"/>
      <c r="J70" s="22"/>
      <c r="K70" s="22"/>
      <c r="L70" s="295"/>
      <c r="M70" s="81"/>
      <c r="N70" s="81"/>
      <c r="O70" s="256"/>
      <c r="P70" s="105"/>
      <c r="Q70" s="211"/>
      <c r="R70" s="36"/>
      <c r="S70" s="36"/>
      <c r="T70" s="36"/>
      <c r="U70" s="36"/>
      <c r="V70" s="36"/>
      <c r="W70" s="36"/>
      <c r="X70" s="36"/>
      <c r="Y70" s="36"/>
      <c r="Z70" s="36"/>
      <c r="AA70" s="36"/>
      <c r="AB70" s="36"/>
      <c r="AC70" s="36"/>
      <c r="AD70" s="36"/>
      <c r="AE70" s="36"/>
      <c r="AF70" s="36"/>
      <c r="AG70" s="36"/>
      <c r="AH70" s="36"/>
      <c r="AI70" s="36"/>
    </row>
    <row r="71" spans="1:35" s="25" customFormat="1" x14ac:dyDescent="0.2">
      <c r="A71" s="3" t="str">
        <f t="shared" si="15"/>
        <v>&gt;= ACTC LEVEL 1 PILOT</v>
      </c>
      <c r="B71" s="149">
        <f t="shared" si="16"/>
        <v>1</v>
      </c>
      <c r="C71" s="149">
        <f t="shared" si="16"/>
        <v>2</v>
      </c>
      <c r="D71" s="149">
        <f t="shared" si="16"/>
        <v>5</v>
      </c>
      <c r="E71" s="27">
        <f t="shared" si="17"/>
        <v>6</v>
      </c>
      <c r="F71" s="27">
        <f t="shared" si="17"/>
        <v>3</v>
      </c>
      <c r="G71" s="172"/>
      <c r="H71" s="172"/>
      <c r="I71" s="22"/>
      <c r="J71" s="22"/>
      <c r="K71" s="22"/>
      <c r="L71" s="295"/>
      <c r="M71" s="81"/>
      <c r="N71" s="81"/>
      <c r="O71" s="83"/>
      <c r="P71" s="105"/>
      <c r="Q71" s="211"/>
      <c r="R71" s="36"/>
      <c r="S71" s="36"/>
      <c r="T71" s="36"/>
      <c r="U71" s="36"/>
      <c r="V71" s="36"/>
      <c r="W71" s="36"/>
      <c r="X71" s="36"/>
      <c r="Y71" s="36"/>
      <c r="Z71" s="36"/>
      <c r="AA71" s="36"/>
      <c r="AB71" s="36"/>
      <c r="AC71" s="36"/>
      <c r="AD71" s="36"/>
      <c r="AE71" s="36"/>
      <c r="AF71" s="36"/>
      <c r="AG71" s="36"/>
      <c r="AH71" s="36"/>
      <c r="AI71" s="36"/>
    </row>
    <row r="72" spans="1:35" s="25" customFormat="1" x14ac:dyDescent="0.2">
      <c r="A72" s="3" t="str">
        <f t="shared" si="15"/>
        <v>&gt;= ACTC LEVEL 1 NAC</v>
      </c>
      <c r="B72" s="149">
        <f t="shared" si="16"/>
        <v>1</v>
      </c>
      <c r="C72" s="149">
        <f t="shared" si="16"/>
        <v>3</v>
      </c>
      <c r="D72" s="149">
        <f t="shared" si="16"/>
        <v>10</v>
      </c>
      <c r="E72" s="27">
        <f t="shared" si="17"/>
        <v>12</v>
      </c>
      <c r="F72" s="27">
        <f t="shared" si="17"/>
        <v>5</v>
      </c>
      <c r="G72" s="172"/>
      <c r="H72" s="172"/>
      <c r="I72" s="22"/>
      <c r="J72" s="22"/>
      <c r="K72" s="22"/>
      <c r="L72" s="81"/>
      <c r="M72" s="83"/>
      <c r="N72" s="83"/>
      <c r="O72" s="83"/>
      <c r="P72" s="105"/>
      <c r="Q72" s="211"/>
      <c r="R72" s="36"/>
      <c r="S72" s="36"/>
      <c r="T72" s="36"/>
      <c r="U72" s="36"/>
      <c r="V72" s="36"/>
      <c r="W72" s="36"/>
      <c r="X72" s="36"/>
      <c r="Y72" s="36"/>
      <c r="Z72" s="36"/>
      <c r="AA72" s="36"/>
      <c r="AB72" s="36"/>
      <c r="AC72" s="36"/>
      <c r="AD72" s="36"/>
      <c r="AE72" s="36"/>
      <c r="AF72" s="36"/>
      <c r="AG72" s="36"/>
      <c r="AH72" s="36"/>
      <c r="AI72" s="36"/>
    </row>
    <row r="73" spans="1:35" s="25" customFormat="1" ht="12" x14ac:dyDescent="0.2">
      <c r="A73" s="3" t="str">
        <f t="shared" si="15"/>
        <v>Q24 Controller Qualified Crewmen</v>
      </c>
      <c r="B73" s="149">
        <f t="shared" si="16"/>
        <v>1</v>
      </c>
      <c r="C73" s="149">
        <f t="shared" si="16"/>
        <v>1</v>
      </c>
      <c r="D73" s="149">
        <f t="shared" si="16"/>
        <v>3</v>
      </c>
      <c r="E73" s="149">
        <f t="shared" ref="E73:F75" si="18">ROUNDUP(IF(E$13="DEPLOY",MAX((E$90/100)*$B108,$B108),(E$90/100)*$B108),0)</f>
        <v>3</v>
      </c>
      <c r="F73" s="149">
        <f t="shared" si="18"/>
        <v>2</v>
      </c>
      <c r="G73" s="172"/>
      <c r="H73" s="172"/>
      <c r="I73" s="22"/>
      <c r="J73" s="22"/>
      <c r="K73" s="22"/>
      <c r="L73" s="83"/>
      <c r="M73" s="83"/>
      <c r="N73" s="83"/>
      <c r="O73" s="83"/>
      <c r="P73" s="83"/>
      <c r="Q73" s="211"/>
      <c r="R73" s="36"/>
      <c r="S73" s="36"/>
      <c r="T73" s="36"/>
      <c r="U73" s="36"/>
      <c r="V73" s="36"/>
      <c r="W73" s="36"/>
      <c r="X73" s="36"/>
      <c r="Y73" s="36"/>
      <c r="Z73" s="36"/>
      <c r="AA73" s="36"/>
      <c r="AB73" s="36"/>
      <c r="AC73" s="36"/>
      <c r="AD73" s="36"/>
      <c r="AE73" s="36"/>
      <c r="AF73" s="36"/>
      <c r="AG73" s="36"/>
      <c r="AH73" s="36"/>
      <c r="AI73" s="36"/>
    </row>
    <row r="74" spans="1:35" s="25" customFormat="1" ht="12" x14ac:dyDescent="0.2">
      <c r="A74" s="3" t="str">
        <f t="shared" si="15"/>
        <v>AMNS Controller Qualified Crewmen</v>
      </c>
      <c r="B74" s="149">
        <f t="shared" si="16"/>
        <v>1</v>
      </c>
      <c r="C74" s="149">
        <f t="shared" si="16"/>
        <v>1</v>
      </c>
      <c r="D74" s="149">
        <f t="shared" si="16"/>
        <v>1</v>
      </c>
      <c r="E74" s="149">
        <f t="shared" si="18"/>
        <v>1</v>
      </c>
      <c r="F74" s="149">
        <f t="shared" si="18"/>
        <v>1</v>
      </c>
      <c r="G74" s="172"/>
      <c r="H74" s="172"/>
      <c r="I74" s="22"/>
      <c r="J74" s="22"/>
      <c r="K74" s="22"/>
      <c r="L74" s="83"/>
      <c r="M74" s="236"/>
      <c r="N74" s="236"/>
      <c r="O74" s="236"/>
      <c r="P74" s="83"/>
      <c r="Q74" s="211"/>
      <c r="R74" s="36"/>
      <c r="S74" s="36"/>
      <c r="T74" s="36"/>
      <c r="U74" s="36"/>
      <c r="V74" s="36"/>
      <c r="W74" s="36"/>
      <c r="X74" s="36"/>
      <c r="Y74" s="36"/>
      <c r="Z74" s="36"/>
      <c r="AA74" s="36"/>
      <c r="AB74" s="36"/>
      <c r="AC74" s="36"/>
      <c r="AD74" s="36"/>
      <c r="AE74" s="36"/>
      <c r="AF74" s="36"/>
      <c r="AG74" s="36"/>
      <c r="AH74" s="36"/>
      <c r="AI74" s="36"/>
    </row>
    <row r="75" spans="1:35" s="25" customFormat="1" ht="12" x14ac:dyDescent="0.2">
      <c r="A75" s="3" t="str">
        <f>A110</f>
        <v>Required Skilled Crews</v>
      </c>
      <c r="B75" s="149">
        <f t="shared" si="16"/>
        <v>1</v>
      </c>
      <c r="C75" s="149">
        <f t="shared" si="16"/>
        <v>1</v>
      </c>
      <c r="D75" s="149">
        <f t="shared" si="16"/>
        <v>3</v>
      </c>
      <c r="E75" s="149">
        <f t="shared" si="18"/>
        <v>3</v>
      </c>
      <c r="F75" s="149">
        <f t="shared" si="18"/>
        <v>2</v>
      </c>
      <c r="G75" s="172"/>
      <c r="H75" s="172"/>
      <c r="I75" s="22"/>
      <c r="J75" s="22"/>
      <c r="K75" s="22"/>
      <c r="L75" s="83"/>
      <c r="M75" s="236"/>
      <c r="N75" s="236"/>
      <c r="O75" s="236"/>
      <c r="P75" s="83"/>
      <c r="Q75" s="211"/>
      <c r="R75" s="36"/>
      <c r="S75" s="36"/>
      <c r="T75" s="36"/>
      <c r="U75" s="36"/>
      <c r="V75" s="36"/>
      <c r="W75" s="36"/>
      <c r="X75" s="36"/>
      <c r="Y75" s="36"/>
      <c r="Z75" s="36"/>
      <c r="AA75" s="36"/>
      <c r="AB75" s="36"/>
      <c r="AC75" s="36"/>
      <c r="AD75" s="36"/>
      <c r="AE75" s="36"/>
      <c r="AF75" s="36"/>
      <c r="AG75" s="36"/>
      <c r="AH75" s="36"/>
      <c r="AI75" s="36"/>
    </row>
    <row r="76" spans="1:35" s="25" customFormat="1" ht="12" x14ac:dyDescent="0.2">
      <c r="A76" s="5"/>
      <c r="B76" s="5"/>
      <c r="C76" s="5"/>
      <c r="D76" s="239"/>
      <c r="E76" s="5"/>
      <c r="F76" s="23"/>
      <c r="G76" s="211"/>
      <c r="H76" s="172"/>
      <c r="I76" s="22"/>
      <c r="J76" s="22"/>
      <c r="K76" s="22"/>
      <c r="L76" s="236"/>
      <c r="M76" s="236"/>
      <c r="N76" s="236"/>
      <c r="O76" s="236"/>
      <c r="P76" s="83"/>
      <c r="Q76" s="211"/>
      <c r="R76" s="36"/>
      <c r="S76" s="36"/>
      <c r="T76" s="36"/>
      <c r="U76" s="36"/>
      <c r="V76" s="36"/>
      <c r="W76" s="36"/>
      <c r="X76" s="36"/>
      <c r="Y76" s="36"/>
      <c r="Z76" s="36"/>
      <c r="AA76" s="36"/>
      <c r="AB76" s="36"/>
      <c r="AC76" s="36"/>
      <c r="AD76" s="36"/>
      <c r="AE76" s="36"/>
      <c r="AF76" s="36"/>
      <c r="AG76" s="36"/>
      <c r="AH76" s="36"/>
      <c r="AI76" s="36"/>
    </row>
    <row r="77" spans="1:35" s="25" customFormat="1" ht="12" x14ac:dyDescent="0.2">
      <c r="B77" s="44"/>
      <c r="C77" s="36" t="s">
        <v>147</v>
      </c>
      <c r="D77" s="240"/>
      <c r="E77" s="211"/>
      <c r="F77" s="211"/>
      <c r="G77" s="211"/>
      <c r="H77" s="172"/>
      <c r="I77" s="22"/>
      <c r="J77" s="22"/>
      <c r="K77" s="22"/>
      <c r="L77" s="236"/>
      <c r="M77" s="236"/>
      <c r="N77" s="236"/>
      <c r="O77" s="236"/>
      <c r="P77" s="83"/>
      <c r="Q77" s="211"/>
      <c r="R77" s="36"/>
      <c r="S77" s="36"/>
      <c r="T77" s="36"/>
      <c r="U77" s="36"/>
      <c r="V77" s="36"/>
      <c r="W77" s="36"/>
      <c r="X77" s="36"/>
      <c r="Y77" s="36"/>
      <c r="Z77" s="36"/>
      <c r="AA77" s="36"/>
      <c r="AB77" s="36"/>
      <c r="AC77" s="36"/>
      <c r="AD77" s="36"/>
      <c r="AE77" s="36"/>
      <c r="AF77" s="36"/>
      <c r="AG77" s="36"/>
      <c r="AH77" s="36"/>
      <c r="AI77" s="36"/>
    </row>
    <row r="78" spans="1:35" s="25" customFormat="1" ht="12" x14ac:dyDescent="0.2">
      <c r="B78" s="45"/>
      <c r="C78" s="36" t="s">
        <v>148</v>
      </c>
      <c r="D78" s="240"/>
      <c r="E78" s="211"/>
      <c r="F78" s="211"/>
      <c r="G78" s="211"/>
      <c r="H78" s="172"/>
      <c r="I78" s="22"/>
      <c r="J78" s="23"/>
      <c r="K78" s="23"/>
      <c r="L78" s="83"/>
      <c r="M78" s="236"/>
      <c r="N78" s="236"/>
      <c r="O78" s="236"/>
      <c r="P78" s="83"/>
      <c r="Q78" s="211"/>
      <c r="R78" s="36"/>
      <c r="S78" s="36"/>
      <c r="T78" s="36"/>
      <c r="U78" s="36"/>
      <c r="V78" s="36"/>
      <c r="W78" s="36"/>
      <c r="X78" s="36"/>
      <c r="Y78" s="36"/>
      <c r="Z78" s="36"/>
      <c r="AA78" s="36"/>
      <c r="AB78" s="36"/>
      <c r="AC78" s="36"/>
      <c r="AD78" s="36"/>
      <c r="AE78" s="36"/>
      <c r="AF78" s="36"/>
      <c r="AG78" s="36"/>
      <c r="AH78" s="36"/>
      <c r="AI78" s="36"/>
    </row>
    <row r="79" spans="1:35" s="25" customFormat="1" ht="12" x14ac:dyDescent="0.2">
      <c r="D79" s="240"/>
      <c r="G79" s="211"/>
      <c r="H79" s="172"/>
      <c r="I79" s="22"/>
      <c r="J79" s="23"/>
      <c r="K79" s="23"/>
      <c r="L79" s="236"/>
      <c r="M79" s="236"/>
      <c r="N79" s="236"/>
      <c r="O79" s="236"/>
      <c r="P79" s="83"/>
      <c r="Q79" s="211"/>
      <c r="R79" s="36"/>
      <c r="S79" s="36"/>
      <c r="T79" s="36"/>
      <c r="U79" s="36"/>
      <c r="V79" s="36"/>
      <c r="W79" s="36"/>
      <c r="X79" s="36"/>
      <c r="Y79" s="36"/>
      <c r="Z79" s="36"/>
      <c r="AA79" s="36"/>
      <c r="AB79" s="36"/>
      <c r="AC79" s="36"/>
      <c r="AD79" s="36"/>
      <c r="AE79" s="36"/>
      <c r="AF79" s="36"/>
      <c r="AG79" s="36"/>
      <c r="AH79" s="36"/>
      <c r="AI79" s="36"/>
    </row>
    <row r="80" spans="1:35" s="25" customFormat="1" ht="12" x14ac:dyDescent="0.2">
      <c r="A80" s="25" t="s">
        <v>149</v>
      </c>
      <c r="D80" s="240"/>
      <c r="G80" s="211"/>
      <c r="H80" s="211"/>
      <c r="I80" s="23"/>
      <c r="J80" s="23"/>
      <c r="K80" s="23"/>
      <c r="L80" s="236"/>
      <c r="M80" s="236"/>
      <c r="N80" s="236"/>
      <c r="O80" s="236"/>
      <c r="P80" s="236"/>
      <c r="Q80" s="211"/>
      <c r="R80" s="36"/>
      <c r="S80" s="36"/>
      <c r="T80" s="36"/>
      <c r="U80" s="36"/>
      <c r="V80" s="36"/>
      <c r="W80" s="36"/>
      <c r="X80" s="36"/>
      <c r="Y80" s="36"/>
      <c r="Z80" s="36"/>
      <c r="AA80" s="36"/>
      <c r="AB80" s="36"/>
      <c r="AC80" s="36"/>
      <c r="AD80" s="36"/>
      <c r="AE80" s="36"/>
      <c r="AF80" s="36"/>
      <c r="AG80" s="36"/>
      <c r="AH80" s="36"/>
      <c r="AI80" s="36"/>
    </row>
    <row r="81" spans="1:35" s="25" customFormat="1" x14ac:dyDescent="0.2">
      <c r="A81" s="261" t="s">
        <v>150</v>
      </c>
      <c r="B81" s="261"/>
      <c r="C81" s="261"/>
      <c r="D81" s="240"/>
      <c r="G81" s="258"/>
      <c r="H81" s="211"/>
      <c r="I81" s="23"/>
      <c r="J81" s="5"/>
      <c r="K81" s="5"/>
      <c r="L81" s="83"/>
      <c r="M81" s="83"/>
      <c r="N81" s="83"/>
      <c r="O81" s="83"/>
      <c r="P81" s="301"/>
      <c r="Q81" s="211"/>
      <c r="R81" s="36"/>
      <c r="S81" s="36"/>
      <c r="T81" s="36"/>
      <c r="U81" s="36"/>
      <c r="V81" s="36"/>
      <c r="W81" s="36"/>
      <c r="X81" s="36"/>
      <c r="Y81" s="36"/>
      <c r="Z81" s="36"/>
      <c r="AA81" s="36"/>
      <c r="AB81" s="36"/>
      <c r="AC81" s="36"/>
      <c r="AD81" s="36"/>
      <c r="AE81" s="36"/>
      <c r="AF81" s="36"/>
      <c r="AG81" s="36"/>
      <c r="AH81" s="36"/>
      <c r="AI81" s="36"/>
    </row>
    <row r="82" spans="1:35" s="25" customFormat="1" ht="12" x14ac:dyDescent="0.2">
      <c r="A82" s="211" t="s">
        <v>151</v>
      </c>
      <c r="B82" s="211"/>
      <c r="C82" s="211"/>
      <c r="D82" s="240"/>
      <c r="G82" s="258"/>
      <c r="H82" s="198"/>
      <c r="I82" s="23"/>
      <c r="J82" s="31"/>
      <c r="K82" s="31"/>
      <c r="L82" s="289"/>
      <c r="M82" s="83"/>
      <c r="N82" s="83"/>
      <c r="O82" s="83"/>
      <c r="P82" s="83"/>
      <c r="Q82" s="211"/>
      <c r="R82" s="36"/>
      <c r="S82" s="36"/>
      <c r="T82" s="36"/>
      <c r="U82" s="36"/>
      <c r="V82" s="36"/>
      <c r="W82" s="36"/>
      <c r="X82" s="36"/>
      <c r="Y82" s="36"/>
      <c r="Z82" s="36"/>
      <c r="AA82" s="36"/>
      <c r="AB82" s="36"/>
      <c r="AC82" s="36"/>
      <c r="AD82" s="36"/>
      <c r="AE82" s="36"/>
      <c r="AF82" s="36"/>
      <c r="AG82" s="36"/>
      <c r="AH82" s="36"/>
      <c r="AI82" s="36"/>
    </row>
    <row r="83" spans="1:35" s="25" customFormat="1" thickBot="1" x14ac:dyDescent="0.25">
      <c r="A83" s="31"/>
      <c r="B83" s="31"/>
      <c r="C83" s="31"/>
      <c r="D83" s="241"/>
      <c r="E83" s="31"/>
      <c r="G83" s="258"/>
      <c r="H83" s="183"/>
      <c r="I83" s="5"/>
      <c r="J83" s="31"/>
      <c r="K83" s="31"/>
      <c r="L83" s="83"/>
      <c r="M83" s="83"/>
      <c r="N83" s="83"/>
      <c r="O83" s="83"/>
      <c r="P83" s="289"/>
      <c r="Q83" s="211"/>
      <c r="R83" s="36"/>
      <c r="S83" s="36"/>
      <c r="T83" s="36"/>
      <c r="U83" s="36"/>
      <c r="V83" s="36"/>
      <c r="W83" s="36"/>
      <c r="X83" s="36"/>
      <c r="Y83" s="36"/>
      <c r="Z83" s="36"/>
      <c r="AA83" s="36"/>
      <c r="AB83" s="36"/>
      <c r="AC83" s="36"/>
      <c r="AD83" s="36"/>
      <c r="AE83" s="36"/>
      <c r="AF83" s="36"/>
      <c r="AG83" s="36"/>
      <c r="AH83" s="36"/>
      <c r="AI83" s="36"/>
    </row>
    <row r="84" spans="1:35" s="25" customFormat="1" thickBot="1" x14ac:dyDescent="0.25">
      <c r="A84" s="670" t="s">
        <v>152</v>
      </c>
      <c r="B84" s="671"/>
      <c r="C84" s="671"/>
      <c r="D84" s="671"/>
      <c r="E84" s="671"/>
      <c r="F84" s="672"/>
      <c r="G84" s="258"/>
      <c r="H84" s="183"/>
      <c r="I84" s="31"/>
      <c r="J84" s="31"/>
      <c r="K84" s="31"/>
      <c r="L84" s="83"/>
      <c r="M84" s="83"/>
      <c r="N84" s="83"/>
      <c r="O84" s="83"/>
      <c r="P84" s="83"/>
      <c r="Q84" s="211"/>
      <c r="R84" s="36"/>
      <c r="S84" s="36"/>
      <c r="T84" s="36"/>
      <c r="U84" s="36"/>
      <c r="V84" s="36"/>
      <c r="W84" s="36"/>
      <c r="X84" s="36"/>
      <c r="Y84" s="36"/>
      <c r="Z84" s="36"/>
      <c r="AA84" s="36"/>
      <c r="AB84" s="36"/>
      <c r="AC84" s="36"/>
      <c r="AD84" s="36"/>
      <c r="AE84" s="36"/>
      <c r="AF84" s="36"/>
      <c r="AG84" s="36"/>
      <c r="AH84" s="36"/>
      <c r="AI84" s="36"/>
    </row>
    <row r="85" spans="1:35" s="25" customFormat="1" ht="12" x14ac:dyDescent="0.2">
      <c r="A85" s="90" t="s">
        <v>153</v>
      </c>
      <c r="B85" s="324">
        <f>MIN(100,B87+$B$91)</f>
        <v>26.5</v>
      </c>
      <c r="C85" s="324">
        <f>MIN(100,C87+$D$91)</f>
        <v>20</v>
      </c>
      <c r="D85" s="324">
        <f>MIN(100,D87+$D$91)</f>
        <v>80</v>
      </c>
      <c r="E85" s="91">
        <f t="shared" ref="E85" si="19">MIN(100,E87+$E$64)</f>
        <v>100</v>
      </c>
      <c r="F85" s="71">
        <f>MIN(100,F87+$B$106)</f>
        <v>43</v>
      </c>
      <c r="G85" s="258"/>
      <c r="H85" s="258"/>
      <c r="I85" s="31"/>
      <c r="J85" s="31"/>
      <c r="K85" s="31"/>
      <c r="L85" s="83"/>
      <c r="M85" s="83"/>
      <c r="N85" s="83"/>
      <c r="O85" s="83"/>
      <c r="P85" s="83"/>
      <c r="Q85" s="211"/>
      <c r="R85" s="36"/>
      <c r="S85" s="36"/>
      <c r="T85" s="36"/>
      <c r="U85" s="36"/>
      <c r="V85" s="36"/>
      <c r="W85" s="36"/>
      <c r="X85" s="36"/>
      <c r="Y85" s="36"/>
      <c r="Z85" s="36"/>
      <c r="AA85" s="36"/>
      <c r="AB85" s="36"/>
      <c r="AC85" s="36"/>
      <c r="AD85" s="36"/>
      <c r="AE85" s="36"/>
      <c r="AF85" s="36"/>
      <c r="AG85" s="36"/>
      <c r="AH85" s="36"/>
      <c r="AI85" s="36"/>
    </row>
    <row r="86" spans="1:35" s="25" customFormat="1" ht="12" x14ac:dyDescent="0.2">
      <c r="A86" s="6" t="s">
        <v>154</v>
      </c>
      <c r="B86" s="323">
        <f>MIN(100,B87+$B$92)</f>
        <v>20</v>
      </c>
      <c r="C86" s="323">
        <f>MIN(100,C87+$D$92)</f>
        <v>20</v>
      </c>
      <c r="D86" s="323">
        <f>MIN(100,D87+$D$92)</f>
        <v>80</v>
      </c>
      <c r="E86" s="7">
        <f>MIN(100,E87+$E$65)</f>
        <v>100</v>
      </c>
      <c r="F86" s="72">
        <f>MIN(100,F87+$B$107)</f>
        <v>49</v>
      </c>
      <c r="G86" s="258"/>
      <c r="H86" s="258"/>
      <c r="I86" s="31"/>
      <c r="J86" s="31"/>
      <c r="K86" s="31"/>
      <c r="L86" s="83"/>
      <c r="M86" s="83"/>
      <c r="N86" s="83"/>
      <c r="O86" s="83"/>
      <c r="P86" s="83"/>
      <c r="Q86" s="211"/>
      <c r="R86" s="36"/>
      <c r="S86" s="36"/>
      <c r="T86" s="36"/>
      <c r="U86" s="36"/>
      <c r="V86" s="36"/>
      <c r="W86" s="36"/>
      <c r="X86" s="36"/>
      <c r="Y86" s="36"/>
      <c r="Z86" s="36"/>
      <c r="AA86" s="36"/>
      <c r="AB86" s="36"/>
      <c r="AC86" s="36"/>
      <c r="AD86" s="36"/>
      <c r="AE86" s="36"/>
      <c r="AF86" s="36"/>
      <c r="AG86" s="36"/>
      <c r="AH86" s="36"/>
      <c r="AI86" s="36"/>
    </row>
    <row r="87" spans="1:35" s="25" customFormat="1" ht="12" x14ac:dyDescent="0.2">
      <c r="A87" s="6" t="s">
        <v>155</v>
      </c>
      <c r="B87" s="242">
        <v>5</v>
      </c>
      <c r="C87" s="242">
        <v>20</v>
      </c>
      <c r="D87" s="242">
        <v>80</v>
      </c>
      <c r="E87" s="53">
        <v>100</v>
      </c>
      <c r="F87" s="73">
        <v>37</v>
      </c>
      <c r="G87" s="258"/>
      <c r="H87" s="258"/>
      <c r="I87" s="31"/>
      <c r="J87" s="46"/>
      <c r="K87" s="46"/>
      <c r="L87" s="83"/>
      <c r="M87" s="83"/>
      <c r="N87" s="83"/>
      <c r="O87" s="83"/>
      <c r="P87" s="83"/>
      <c r="Q87" s="211"/>
      <c r="R87" s="36"/>
      <c r="S87" s="36"/>
      <c r="T87" s="36"/>
      <c r="U87" s="36"/>
      <c r="V87" s="36"/>
      <c r="W87" s="36"/>
      <c r="X87" s="36"/>
      <c r="Y87" s="36"/>
      <c r="Z87" s="36"/>
      <c r="AA87" s="36"/>
      <c r="AB87" s="36"/>
      <c r="AC87" s="36"/>
      <c r="AD87" s="36"/>
      <c r="AE87" s="36"/>
      <c r="AF87" s="36"/>
      <c r="AG87" s="36"/>
      <c r="AH87" s="36"/>
      <c r="AI87" s="36"/>
    </row>
    <row r="88" spans="1:35" s="25" customFormat="1" ht="12" x14ac:dyDescent="0.2">
      <c r="A88" s="6" t="s">
        <v>156</v>
      </c>
      <c r="B88" s="7">
        <f>MIN(80,IF(B13="DEPLOY",80,MAX(0,B87-$B$92)))</f>
        <v>0</v>
      </c>
      <c r="C88" s="7">
        <f>MIN(80,IF(C13="DEPLOY",80,MAX(0,C87-$B$92)))</f>
        <v>5</v>
      </c>
      <c r="D88" s="7">
        <f>MIN(80,IF(D13="DEPLOY",80,MAX(0,D87-$B$92)))</f>
        <v>65</v>
      </c>
      <c r="E88" s="325">
        <f>MIN(80,IF(G13="Deploy",80,MAX(0,E87-$B$92)))</f>
        <v>80</v>
      </c>
      <c r="F88" s="72">
        <f>MIN(80,IF(H13="Deploy",80,MAX(0,F87-$B$92)))</f>
        <v>22</v>
      </c>
      <c r="G88" s="190"/>
      <c r="H88" s="258"/>
      <c r="I88" s="31"/>
      <c r="J88" s="24"/>
      <c r="K88" s="24"/>
      <c r="L88" s="83"/>
      <c r="M88" s="83"/>
      <c r="N88" s="83"/>
      <c r="O88" s="83"/>
      <c r="P88" s="83"/>
      <c r="Q88" s="211"/>
      <c r="R88" s="36"/>
      <c r="S88" s="36"/>
      <c r="T88" s="36"/>
      <c r="U88" s="36"/>
      <c r="V88" s="36"/>
      <c r="W88" s="36"/>
      <c r="X88" s="36"/>
      <c r="Y88" s="36"/>
      <c r="Z88" s="36"/>
      <c r="AA88" s="36"/>
      <c r="AB88" s="36"/>
      <c r="AC88" s="36"/>
      <c r="AD88" s="36"/>
      <c r="AE88" s="36"/>
      <c r="AF88" s="36"/>
      <c r="AG88" s="36"/>
      <c r="AH88" s="36"/>
      <c r="AI88" s="36"/>
    </row>
    <row r="89" spans="1:35" s="25" customFormat="1" thickBot="1" x14ac:dyDescent="0.25">
      <c r="A89" s="8" t="s">
        <v>157</v>
      </c>
      <c r="B89" s="140">
        <f>MIN(60,IF(B13="DEPLOY",60,MAX(0,B87-B91&amp;101)))</f>
        <v>0</v>
      </c>
      <c r="C89" s="140">
        <f>MIN(60,IF(C13="DEPLOY",60,MAX(0,C87-B91&amp;101)))</f>
        <v>0</v>
      </c>
      <c r="D89" s="140">
        <f>MIN(60,IF(D13="DEPLOY",60,MAX(0,D87-B91&amp;101)))</f>
        <v>58.510100000000001</v>
      </c>
      <c r="E89" s="327">
        <f>MIN(60,IF(G13="Deploy",60,MAX(0,E87-$B$91)))</f>
        <v>60</v>
      </c>
      <c r="F89" s="141">
        <f>MIN(60,IF(H13="Deploy",60,MAX(0,F87-$B$91)))</f>
        <v>15.5</v>
      </c>
      <c r="G89" s="186"/>
      <c r="H89" s="258"/>
      <c r="I89" s="46"/>
      <c r="J89" s="24"/>
      <c r="K89" s="24"/>
      <c r="L89" s="83"/>
      <c r="M89" s="83"/>
      <c r="N89" s="83"/>
      <c r="O89" s="83"/>
      <c r="P89" s="83"/>
      <c r="Q89" s="211"/>
      <c r="R89" s="36"/>
      <c r="S89" s="36"/>
      <c r="T89" s="36"/>
      <c r="U89" s="36"/>
      <c r="V89" s="36"/>
      <c r="W89" s="36"/>
      <c r="X89" s="36"/>
      <c r="Y89" s="36"/>
      <c r="Z89" s="36"/>
      <c r="AA89" s="36"/>
      <c r="AB89" s="36"/>
      <c r="AC89" s="36"/>
      <c r="AD89" s="36"/>
      <c r="AE89" s="36"/>
      <c r="AF89" s="36"/>
      <c r="AG89" s="36"/>
      <c r="AH89" s="36"/>
      <c r="AI89" s="36"/>
    </row>
    <row r="90" spans="1:35" s="25" customFormat="1" thickBot="1" x14ac:dyDescent="0.25">
      <c r="A90" s="326" t="s">
        <v>158</v>
      </c>
      <c r="B90" s="138">
        <v>5</v>
      </c>
      <c r="C90" s="243">
        <v>20</v>
      </c>
      <c r="D90" s="243">
        <v>80</v>
      </c>
      <c r="E90" s="138">
        <v>100</v>
      </c>
      <c r="F90" s="139">
        <v>37</v>
      </c>
      <c r="G90" s="186"/>
      <c r="H90" s="258"/>
      <c r="I90" s="24"/>
      <c r="J90" s="24"/>
      <c r="K90" s="24"/>
      <c r="L90" s="83"/>
      <c r="M90" s="289"/>
      <c r="N90" s="289"/>
      <c r="O90" s="289"/>
      <c r="P90" s="83"/>
      <c r="Q90" s="211"/>
      <c r="R90" s="36"/>
      <c r="S90" s="36"/>
      <c r="T90" s="36"/>
      <c r="U90" s="36"/>
      <c r="V90" s="36"/>
      <c r="W90" s="36"/>
      <c r="X90" s="36"/>
      <c r="Y90" s="36"/>
      <c r="Z90" s="36"/>
      <c r="AA90" s="36"/>
      <c r="AB90" s="36"/>
      <c r="AC90" s="36"/>
      <c r="AD90" s="36"/>
      <c r="AE90" s="36"/>
      <c r="AF90" s="36"/>
      <c r="AG90" s="36"/>
      <c r="AH90" s="36"/>
      <c r="AI90" s="36"/>
    </row>
    <row r="91" spans="1:35" s="25" customFormat="1" ht="12" x14ac:dyDescent="0.2">
      <c r="A91" s="328" t="s">
        <v>159</v>
      </c>
      <c r="B91" s="329">
        <v>21.5</v>
      </c>
      <c r="C91" s="321"/>
      <c r="D91" s="322"/>
      <c r="E91" s="210"/>
      <c r="F91" s="24"/>
      <c r="G91" s="198"/>
      <c r="H91" s="258"/>
      <c r="I91" s="24"/>
      <c r="J91" s="32"/>
      <c r="K91" s="32"/>
      <c r="L91" s="83"/>
      <c r="M91" s="289"/>
      <c r="N91" s="289"/>
      <c r="O91" s="289"/>
      <c r="P91" s="83"/>
      <c r="Q91" s="211"/>
      <c r="R91" s="36"/>
      <c r="S91" s="36"/>
      <c r="T91" s="36"/>
      <c r="U91" s="36"/>
      <c r="V91" s="36"/>
      <c r="W91" s="36"/>
      <c r="X91" s="36"/>
      <c r="Y91" s="36"/>
      <c r="Z91" s="36"/>
      <c r="AA91" s="36"/>
      <c r="AB91" s="36"/>
      <c r="AC91" s="36"/>
      <c r="AD91" s="36"/>
      <c r="AE91" s="36"/>
      <c r="AF91" s="36"/>
      <c r="AG91" s="36"/>
      <c r="AH91" s="36"/>
      <c r="AI91" s="36"/>
    </row>
    <row r="92" spans="1:35" s="25" customFormat="1" thickBot="1" x14ac:dyDescent="0.25">
      <c r="A92" s="51" t="s">
        <v>160</v>
      </c>
      <c r="B92" s="52">
        <v>15</v>
      </c>
      <c r="C92" s="321"/>
      <c r="D92" s="322"/>
      <c r="E92" s="210"/>
      <c r="F92" s="15"/>
      <c r="G92" s="198"/>
      <c r="H92" s="190"/>
      <c r="I92" s="24"/>
      <c r="J92" s="24"/>
      <c r="K92" s="24"/>
      <c r="L92" s="289"/>
      <c r="M92" s="83"/>
      <c r="N92" s="83"/>
      <c r="O92" s="83"/>
      <c r="P92" s="83"/>
      <c r="Q92" s="211"/>
      <c r="R92" s="36"/>
      <c r="S92" s="36"/>
      <c r="T92" s="36"/>
      <c r="U92" s="36"/>
      <c r="V92" s="36"/>
      <c r="W92" s="36"/>
      <c r="X92" s="36"/>
      <c r="Y92" s="36"/>
      <c r="Z92" s="36"/>
      <c r="AA92" s="36"/>
      <c r="AB92" s="36"/>
      <c r="AC92" s="36"/>
      <c r="AD92" s="36"/>
      <c r="AE92" s="36"/>
      <c r="AF92" s="36"/>
      <c r="AG92" s="36"/>
      <c r="AH92" s="36"/>
      <c r="AI92" s="36"/>
    </row>
    <row r="93" spans="1:35" s="25" customFormat="1" thickBot="1" x14ac:dyDescent="0.25">
      <c r="A93" s="9"/>
      <c r="B93" s="9"/>
      <c r="C93" s="15"/>
      <c r="D93" s="23"/>
      <c r="E93" s="15"/>
      <c r="F93" s="5"/>
      <c r="G93" s="198"/>
      <c r="H93" s="186"/>
      <c r="I93" s="32"/>
      <c r="J93" s="24"/>
      <c r="K93" s="24"/>
      <c r="L93" s="289"/>
      <c r="M93" s="83"/>
      <c r="N93" s="83"/>
      <c r="O93" s="83"/>
      <c r="P93" s="289"/>
      <c r="Q93" s="211"/>
      <c r="R93" s="36"/>
      <c r="S93" s="36"/>
      <c r="T93" s="36"/>
      <c r="U93" s="36"/>
      <c r="V93" s="36"/>
      <c r="W93" s="36"/>
      <c r="X93" s="36"/>
      <c r="Y93" s="36"/>
      <c r="Z93" s="36"/>
      <c r="AA93" s="36"/>
      <c r="AB93" s="36"/>
      <c r="AC93" s="36"/>
      <c r="AD93" s="36"/>
      <c r="AE93" s="36"/>
      <c r="AF93" s="36"/>
      <c r="AG93" s="36"/>
      <c r="AH93" s="36"/>
      <c r="AI93" s="36"/>
    </row>
    <row r="94" spans="1:35" s="25" customFormat="1" thickBot="1" x14ac:dyDescent="0.25">
      <c r="A94" s="319" t="s">
        <v>161</v>
      </c>
      <c r="B94" s="320"/>
      <c r="C94" s="246"/>
      <c r="D94" s="246"/>
      <c r="E94" s="246"/>
      <c r="F94" s="9"/>
      <c r="G94" s="199"/>
      <c r="H94" s="186"/>
      <c r="I94" s="24"/>
      <c r="J94" s="5"/>
      <c r="K94" s="5"/>
      <c r="L94" s="83"/>
      <c r="M94" s="83"/>
      <c r="N94" s="83"/>
      <c r="O94" s="83"/>
      <c r="P94" s="289"/>
      <c r="Q94" s="211"/>
      <c r="R94" s="36"/>
      <c r="S94" s="36"/>
      <c r="T94" s="36"/>
      <c r="U94" s="36"/>
      <c r="V94" s="36"/>
      <c r="W94" s="36"/>
      <c r="X94" s="36"/>
      <c r="Y94" s="36"/>
      <c r="Z94" s="36"/>
      <c r="AA94" s="36"/>
      <c r="AB94" s="36"/>
      <c r="AC94" s="36"/>
      <c r="AD94" s="36"/>
      <c r="AE94" s="36"/>
      <c r="AF94" s="36"/>
      <c r="AG94" s="36"/>
      <c r="AH94" s="36"/>
      <c r="AI94" s="36"/>
    </row>
    <row r="95" spans="1:35" s="25" customFormat="1" thickBot="1" x14ac:dyDescent="0.25">
      <c r="A95" s="319" t="s">
        <v>162</v>
      </c>
      <c r="B95" s="320"/>
      <c r="C95" s="372" t="s">
        <v>163</v>
      </c>
      <c r="D95" s="246"/>
      <c r="E95" s="246"/>
      <c r="F95" s="5"/>
      <c r="G95" s="199"/>
      <c r="H95" s="198"/>
      <c r="I95" s="24"/>
      <c r="J95" s="5"/>
      <c r="K95" s="5"/>
      <c r="L95" s="83"/>
      <c r="M95" s="83"/>
      <c r="N95" s="83"/>
      <c r="O95" s="83"/>
      <c r="P95" s="83"/>
      <c r="Q95" s="211"/>
      <c r="R95" s="36"/>
      <c r="S95" s="36"/>
      <c r="T95" s="36"/>
      <c r="U95" s="36"/>
      <c r="V95" s="36"/>
      <c r="W95" s="36"/>
      <c r="X95" s="36"/>
      <c r="Y95" s="36"/>
      <c r="Z95" s="36"/>
      <c r="AA95" s="36"/>
      <c r="AB95" s="36"/>
      <c r="AC95" s="36"/>
      <c r="AD95" s="36"/>
      <c r="AE95" s="36"/>
      <c r="AF95" s="36"/>
      <c r="AG95" s="36"/>
      <c r="AH95" s="36"/>
      <c r="AI95" s="36"/>
    </row>
    <row r="96" spans="1:35" s="25" customFormat="1" ht="13.5" customHeight="1" x14ac:dyDescent="0.2">
      <c r="A96" s="375" t="s">
        <v>164</v>
      </c>
      <c r="B96" s="376">
        <v>6</v>
      </c>
      <c r="C96" s="15"/>
      <c r="D96" s="210"/>
      <c r="E96" s="210"/>
      <c r="F96" s="5"/>
      <c r="H96" s="198"/>
      <c r="I96" s="5"/>
      <c r="J96" s="9"/>
      <c r="K96" s="9"/>
      <c r="L96" s="83"/>
      <c r="M96" s="83"/>
      <c r="N96" s="83"/>
      <c r="O96" s="83"/>
      <c r="P96" s="83"/>
      <c r="Q96" s="211"/>
      <c r="R96" s="36"/>
      <c r="S96" s="36"/>
      <c r="T96" s="36"/>
      <c r="U96" s="36"/>
      <c r="V96" s="36"/>
      <c r="W96" s="36"/>
      <c r="X96" s="36"/>
      <c r="Y96" s="36"/>
      <c r="Z96" s="36"/>
      <c r="AA96" s="36"/>
      <c r="AB96" s="36"/>
      <c r="AC96" s="36"/>
      <c r="AD96" s="36"/>
      <c r="AE96" s="36"/>
      <c r="AF96" s="36"/>
      <c r="AG96" s="36"/>
      <c r="AH96" s="36"/>
      <c r="AI96" s="36"/>
    </row>
    <row r="97" spans="1:35" s="25" customFormat="1" ht="13.5" customHeight="1" x14ac:dyDescent="0.2">
      <c r="A97" s="13" t="s">
        <v>165</v>
      </c>
      <c r="B97" s="14">
        <v>6</v>
      </c>
      <c r="C97" s="15"/>
      <c r="D97" s="210"/>
      <c r="F97" s="5"/>
      <c r="H97" s="198"/>
      <c r="I97" s="5"/>
      <c r="J97" s="15"/>
      <c r="K97" s="15"/>
      <c r="L97" s="83"/>
      <c r="M97" s="83"/>
      <c r="N97" s="83"/>
      <c r="O97" s="83"/>
      <c r="P97" s="83"/>
      <c r="Q97" s="211"/>
      <c r="R97" s="36"/>
      <c r="S97" s="36"/>
      <c r="T97" s="36"/>
      <c r="U97" s="36"/>
      <c r="V97" s="36"/>
      <c r="W97" s="36"/>
      <c r="X97" s="36"/>
      <c r="Y97" s="36"/>
      <c r="Z97" s="36"/>
      <c r="AA97" s="36"/>
      <c r="AB97" s="36"/>
      <c r="AC97" s="36"/>
      <c r="AD97" s="36"/>
      <c r="AE97" s="36"/>
      <c r="AF97" s="36"/>
      <c r="AG97" s="36"/>
      <c r="AH97" s="36"/>
      <c r="AI97" s="36"/>
    </row>
    <row r="98" spans="1:35" s="25" customFormat="1" ht="12" x14ac:dyDescent="0.2">
      <c r="A98" s="10" t="s">
        <v>166</v>
      </c>
      <c r="B98" s="11">
        <v>12</v>
      </c>
      <c r="C98" s="15"/>
      <c r="D98" s="210"/>
      <c r="E98" s="211"/>
      <c r="F98" s="9"/>
      <c r="H98" s="199"/>
      <c r="I98" s="9"/>
      <c r="J98" s="5"/>
      <c r="K98" s="15"/>
      <c r="L98" s="83"/>
      <c r="M98" s="83"/>
      <c r="N98" s="83"/>
      <c r="O98" s="83"/>
      <c r="P98" s="83"/>
      <c r="Q98" s="211"/>
      <c r="R98" s="36"/>
      <c r="S98" s="36"/>
      <c r="T98" s="36"/>
      <c r="U98" s="36"/>
      <c r="V98" s="36"/>
      <c r="W98" s="36"/>
      <c r="X98" s="36"/>
      <c r="Y98" s="36"/>
      <c r="Z98" s="36"/>
      <c r="AA98" s="36"/>
      <c r="AB98" s="36"/>
      <c r="AC98" s="36"/>
      <c r="AD98" s="36"/>
      <c r="AE98" s="36"/>
      <c r="AF98" s="36"/>
      <c r="AG98" s="36"/>
      <c r="AH98" s="36"/>
      <c r="AI98" s="36"/>
    </row>
    <row r="99" spans="1:35" s="25" customFormat="1" ht="12" x14ac:dyDescent="0.2">
      <c r="A99" s="13" t="s">
        <v>167</v>
      </c>
      <c r="B99" s="14">
        <v>12</v>
      </c>
      <c r="C99" s="15"/>
      <c r="D99" s="210"/>
      <c r="E99" s="211"/>
      <c r="F99" s="9"/>
      <c r="H99" s="199"/>
      <c r="I99" s="15"/>
      <c r="J99" s="18"/>
      <c r="K99" s="5"/>
      <c r="L99" s="83"/>
      <c r="M99" s="83"/>
      <c r="N99" s="83"/>
      <c r="O99" s="83"/>
      <c r="P99" s="83"/>
      <c r="Q99" s="211"/>
      <c r="R99" s="36"/>
      <c r="S99" s="36"/>
      <c r="T99" s="36"/>
      <c r="U99" s="36"/>
      <c r="V99" s="36"/>
      <c r="W99" s="36"/>
      <c r="X99" s="36"/>
      <c r="Y99" s="36"/>
      <c r="Z99" s="36"/>
      <c r="AA99" s="36"/>
      <c r="AB99" s="36"/>
      <c r="AC99" s="36"/>
      <c r="AD99" s="36"/>
      <c r="AE99" s="36"/>
      <c r="AF99" s="36"/>
      <c r="AG99" s="36"/>
      <c r="AH99" s="36"/>
      <c r="AI99" s="36"/>
    </row>
    <row r="100" spans="1:35" s="25" customFormat="1" ht="12" x14ac:dyDescent="0.2">
      <c r="A100" s="13" t="s">
        <v>168</v>
      </c>
      <c r="B100" s="16">
        <v>3</v>
      </c>
      <c r="C100" s="15"/>
      <c r="D100" s="210"/>
      <c r="F100" s="508"/>
      <c r="G100" s="176"/>
      <c r="I100" s="5"/>
      <c r="J100" s="211"/>
      <c r="L100" s="83"/>
      <c r="M100" s="83"/>
      <c r="N100" s="83"/>
      <c r="O100" s="83"/>
      <c r="P100" s="83"/>
      <c r="Q100" s="211"/>
      <c r="R100" s="36"/>
      <c r="S100" s="36"/>
      <c r="T100" s="36"/>
      <c r="U100" s="36"/>
      <c r="V100" s="36"/>
      <c r="W100" s="36"/>
      <c r="X100" s="36"/>
      <c r="Y100" s="36"/>
      <c r="Z100" s="36"/>
      <c r="AA100" s="36"/>
      <c r="AB100" s="36"/>
      <c r="AC100" s="36"/>
      <c r="AD100" s="36"/>
      <c r="AE100" s="36"/>
      <c r="AF100" s="36"/>
      <c r="AG100" s="36"/>
      <c r="AH100" s="36"/>
      <c r="AI100" s="36"/>
    </row>
    <row r="101" spans="1:35" s="25" customFormat="1" ht="12" x14ac:dyDescent="0.2">
      <c r="A101" s="13" t="s">
        <v>169</v>
      </c>
      <c r="B101" s="16">
        <v>3</v>
      </c>
      <c r="C101" s="15"/>
      <c r="D101" s="210"/>
      <c r="F101" s="508"/>
      <c r="G101" s="176"/>
      <c r="I101" s="18"/>
      <c r="J101" s="211"/>
      <c r="L101" s="83"/>
      <c r="M101" s="83"/>
      <c r="N101" s="83"/>
      <c r="O101" s="83"/>
      <c r="P101" s="83"/>
      <c r="Q101" s="211"/>
      <c r="R101" s="36"/>
      <c r="S101" s="36"/>
      <c r="T101" s="36"/>
      <c r="U101" s="36"/>
      <c r="V101" s="36"/>
      <c r="W101" s="36"/>
      <c r="X101" s="36"/>
      <c r="Y101" s="36"/>
      <c r="Z101" s="36"/>
      <c r="AA101" s="36"/>
      <c r="AB101" s="36"/>
      <c r="AC101" s="36"/>
      <c r="AD101" s="36"/>
      <c r="AE101" s="36"/>
      <c r="AF101" s="36"/>
      <c r="AG101" s="36"/>
      <c r="AH101" s="36"/>
      <c r="AI101" s="36"/>
    </row>
    <row r="102" spans="1:35" s="25" customFormat="1" ht="12" x14ac:dyDescent="0.2">
      <c r="A102" s="13" t="s">
        <v>170</v>
      </c>
      <c r="B102" s="16">
        <v>3</v>
      </c>
      <c r="C102" s="15"/>
      <c r="D102" s="210"/>
      <c r="F102" s="508"/>
      <c r="G102" s="176"/>
      <c r="I102" s="211"/>
      <c r="J102" s="15"/>
      <c r="K102" s="210"/>
      <c r="L102" s="83"/>
      <c r="M102" s="83"/>
      <c r="N102" s="83"/>
      <c r="O102" s="83"/>
      <c r="P102" s="83"/>
      <c r="Q102" s="211"/>
      <c r="R102" s="36"/>
      <c r="S102" s="36"/>
      <c r="T102" s="36"/>
      <c r="U102" s="36"/>
      <c r="V102" s="36"/>
      <c r="W102" s="36"/>
      <c r="X102" s="36"/>
      <c r="Y102" s="36"/>
      <c r="Z102" s="36"/>
      <c r="AA102" s="36"/>
      <c r="AB102" s="36"/>
      <c r="AC102" s="36"/>
      <c r="AD102" s="36"/>
      <c r="AE102" s="36"/>
      <c r="AF102" s="36"/>
      <c r="AG102" s="36"/>
      <c r="AH102" s="36"/>
      <c r="AI102" s="36"/>
    </row>
    <row r="103" spans="1:35" s="25" customFormat="1" ht="12" x14ac:dyDescent="0.2">
      <c r="A103" s="13" t="s">
        <v>171</v>
      </c>
      <c r="B103" s="14">
        <v>3</v>
      </c>
      <c r="C103" s="15"/>
      <c r="D103" s="210"/>
      <c r="F103" s="508"/>
      <c r="G103" s="176"/>
      <c r="I103" s="211"/>
      <c r="J103" s="321"/>
      <c r="K103" s="210"/>
      <c r="L103" s="83"/>
      <c r="M103" s="289"/>
      <c r="N103" s="289"/>
      <c r="O103" s="289"/>
      <c r="P103" s="83"/>
      <c r="Q103" s="211"/>
      <c r="R103" s="36"/>
      <c r="S103" s="36"/>
      <c r="T103" s="36"/>
      <c r="U103" s="36"/>
      <c r="V103" s="36"/>
      <c r="W103" s="36"/>
      <c r="X103" s="36"/>
      <c r="Y103" s="36"/>
      <c r="Z103" s="36"/>
      <c r="AA103" s="36"/>
      <c r="AB103" s="36"/>
      <c r="AC103" s="36"/>
      <c r="AD103" s="36"/>
      <c r="AE103" s="36"/>
      <c r="AF103" s="36"/>
      <c r="AG103" s="36"/>
      <c r="AH103" s="36"/>
      <c r="AI103" s="36"/>
    </row>
    <row r="104" spans="1:35" s="25" customFormat="1" ht="12" x14ac:dyDescent="0.2">
      <c r="A104" s="13" t="s">
        <v>172</v>
      </c>
      <c r="B104" s="16">
        <v>3</v>
      </c>
      <c r="C104" s="15"/>
      <c r="D104" s="210"/>
      <c r="F104" s="508"/>
      <c r="G104" s="176"/>
      <c r="H104" s="211"/>
      <c r="I104" s="9"/>
      <c r="J104" s="321"/>
      <c r="K104" s="210"/>
      <c r="L104" s="83"/>
      <c r="M104" s="83"/>
      <c r="N104" s="83"/>
      <c r="O104" s="83"/>
      <c r="P104" s="83"/>
      <c r="Q104" s="211"/>
      <c r="R104" s="36"/>
      <c r="S104" s="36"/>
      <c r="T104" s="36"/>
      <c r="U104" s="36"/>
      <c r="V104" s="36"/>
      <c r="W104" s="36"/>
      <c r="X104" s="36"/>
      <c r="Y104" s="36"/>
      <c r="Z104" s="36"/>
      <c r="AA104" s="36"/>
      <c r="AB104" s="36"/>
      <c r="AC104" s="36"/>
      <c r="AD104" s="36"/>
      <c r="AE104" s="36"/>
      <c r="AF104" s="36"/>
      <c r="AG104" s="36"/>
      <c r="AH104" s="36"/>
      <c r="AI104" s="36"/>
    </row>
    <row r="105" spans="1:35" s="25" customFormat="1" ht="12" x14ac:dyDescent="0.2">
      <c r="A105" s="13" t="s">
        <v>173</v>
      </c>
      <c r="B105" s="16">
        <v>3</v>
      </c>
      <c r="C105" s="15"/>
      <c r="D105" s="210"/>
      <c r="F105" s="508"/>
      <c r="G105" s="176"/>
      <c r="H105" s="211"/>
      <c r="I105" s="9"/>
      <c r="J105" s="321"/>
      <c r="K105" s="210"/>
      <c r="L105" s="289"/>
      <c r="M105" s="83"/>
      <c r="N105" s="83"/>
      <c r="O105" s="83"/>
      <c r="P105" s="83"/>
      <c r="Q105" s="211"/>
      <c r="R105" s="36"/>
      <c r="S105" s="36"/>
      <c r="T105" s="36"/>
      <c r="U105" s="36"/>
      <c r="V105" s="36"/>
      <c r="W105" s="36"/>
      <c r="X105" s="36"/>
      <c r="Y105" s="36"/>
      <c r="Z105" s="36"/>
      <c r="AA105" s="36"/>
      <c r="AB105" s="36"/>
      <c r="AC105" s="36"/>
      <c r="AD105" s="36"/>
      <c r="AE105" s="36"/>
      <c r="AF105" s="36"/>
      <c r="AG105" s="36"/>
      <c r="AH105" s="36"/>
      <c r="AI105" s="36"/>
    </row>
    <row r="106" spans="1:35" s="25" customFormat="1" ht="12" x14ac:dyDescent="0.2">
      <c r="A106" s="13" t="s">
        <v>174</v>
      </c>
      <c r="B106" s="16">
        <v>6</v>
      </c>
      <c r="C106" s="15"/>
      <c r="D106" s="210"/>
      <c r="F106" s="508"/>
      <c r="G106" s="176"/>
      <c r="H106" s="199"/>
      <c r="I106" s="19"/>
      <c r="J106" s="321"/>
      <c r="K106" s="210"/>
      <c r="L106" s="83"/>
      <c r="M106" s="83"/>
      <c r="N106" s="83"/>
      <c r="O106" s="83"/>
      <c r="P106" s="289"/>
      <c r="Q106" s="211"/>
      <c r="R106" s="36"/>
      <c r="S106" s="36"/>
      <c r="T106" s="36"/>
      <c r="U106" s="36"/>
      <c r="V106" s="36"/>
      <c r="W106" s="36"/>
      <c r="X106" s="36"/>
      <c r="Y106" s="36"/>
      <c r="Z106" s="36"/>
      <c r="AA106" s="36"/>
      <c r="AB106" s="36"/>
      <c r="AC106" s="36"/>
      <c r="AD106" s="36"/>
      <c r="AE106" s="36"/>
      <c r="AF106" s="36"/>
      <c r="AG106" s="36"/>
      <c r="AH106" s="36"/>
      <c r="AI106" s="36"/>
    </row>
    <row r="107" spans="1:35" s="25" customFormat="1" ht="12" x14ac:dyDescent="0.2">
      <c r="A107" s="13" t="s">
        <v>175</v>
      </c>
      <c r="B107" s="20">
        <v>12</v>
      </c>
      <c r="C107" s="15"/>
      <c r="D107" s="210"/>
      <c r="F107" s="508"/>
      <c r="G107" s="176"/>
      <c r="H107" s="199"/>
      <c r="I107" s="211"/>
      <c r="J107" s="321"/>
      <c r="K107" s="210"/>
      <c r="L107" s="83"/>
      <c r="M107" s="83"/>
      <c r="N107" s="83"/>
      <c r="O107" s="83"/>
      <c r="P107" s="83"/>
      <c r="Q107" s="211"/>
      <c r="R107" s="36"/>
      <c r="S107" s="36"/>
      <c r="T107" s="36"/>
      <c r="U107" s="36"/>
      <c r="V107" s="36"/>
      <c r="W107" s="36"/>
      <c r="X107" s="36"/>
      <c r="Y107" s="36"/>
      <c r="Z107" s="36"/>
      <c r="AA107" s="36"/>
      <c r="AB107" s="36"/>
      <c r="AC107" s="36"/>
      <c r="AD107" s="36"/>
      <c r="AE107" s="36"/>
      <c r="AF107" s="36"/>
      <c r="AG107" s="36"/>
      <c r="AH107" s="36"/>
      <c r="AI107" s="36"/>
    </row>
    <row r="108" spans="1:35" s="25" customFormat="1" ht="12" x14ac:dyDescent="0.2">
      <c r="A108" s="203" t="s">
        <v>176</v>
      </c>
      <c r="B108" s="20">
        <v>3</v>
      </c>
      <c r="C108" s="15"/>
      <c r="D108" s="210"/>
      <c r="F108" s="508"/>
      <c r="G108" s="176"/>
      <c r="H108" s="211"/>
      <c r="I108" s="211"/>
      <c r="J108" s="321"/>
      <c r="K108" s="210"/>
      <c r="L108" s="83"/>
      <c r="M108" s="83"/>
      <c r="N108" s="83"/>
      <c r="O108" s="83"/>
      <c r="P108" s="83"/>
      <c r="Q108" s="211"/>
      <c r="R108" s="36"/>
      <c r="S108" s="36"/>
      <c r="T108" s="36"/>
      <c r="U108" s="36"/>
      <c r="V108" s="36"/>
      <c r="W108" s="36"/>
      <c r="X108" s="36"/>
      <c r="Y108" s="36"/>
      <c r="Z108" s="36"/>
      <c r="AA108" s="36"/>
      <c r="AB108" s="36"/>
      <c r="AC108" s="36"/>
      <c r="AD108" s="36"/>
      <c r="AE108" s="36"/>
      <c r="AF108" s="36"/>
      <c r="AG108" s="36"/>
      <c r="AH108" s="36"/>
      <c r="AI108" s="36"/>
    </row>
    <row r="109" spans="1:35" s="25" customFormat="1" ht="12" x14ac:dyDescent="0.2">
      <c r="A109" s="203" t="s">
        <v>177</v>
      </c>
      <c r="B109" s="20">
        <v>1</v>
      </c>
      <c r="C109" s="15"/>
      <c r="D109" s="210"/>
      <c r="F109" s="261"/>
      <c r="H109" s="211"/>
      <c r="I109" s="211"/>
      <c r="J109" s="321"/>
      <c r="K109" s="210"/>
      <c r="L109" s="83"/>
      <c r="M109" s="83"/>
      <c r="N109" s="83"/>
      <c r="O109" s="83"/>
      <c r="P109" s="83"/>
      <c r="Q109" s="211"/>
      <c r="R109" s="36"/>
      <c r="S109" s="36"/>
      <c r="T109" s="36"/>
      <c r="U109" s="36"/>
      <c r="V109" s="36"/>
      <c r="W109" s="36"/>
      <c r="X109" s="36"/>
      <c r="Y109" s="36"/>
      <c r="Z109" s="36"/>
      <c r="AA109" s="36"/>
      <c r="AB109" s="36"/>
      <c r="AC109" s="36"/>
      <c r="AD109" s="36"/>
      <c r="AE109" s="36"/>
      <c r="AF109" s="36"/>
      <c r="AG109" s="36"/>
      <c r="AH109" s="36"/>
      <c r="AI109" s="36"/>
    </row>
    <row r="110" spans="1:35" s="25" customFormat="1" thickBot="1" x14ac:dyDescent="0.25">
      <c r="A110" s="207" t="s">
        <v>178</v>
      </c>
      <c r="B110" s="377">
        <v>3</v>
      </c>
      <c r="C110" s="15"/>
      <c r="D110" s="210"/>
      <c r="E110" s="211"/>
      <c r="H110" s="198"/>
      <c r="I110" s="211"/>
      <c r="J110" s="321"/>
      <c r="K110" s="210"/>
      <c r="L110" s="83"/>
      <c r="M110" s="83"/>
      <c r="N110" s="83"/>
      <c r="O110" s="83"/>
      <c r="P110" s="83"/>
      <c r="Q110" s="211"/>
      <c r="R110" s="36"/>
      <c r="S110" s="36"/>
      <c r="T110" s="36"/>
      <c r="U110" s="36"/>
      <c r="V110" s="36"/>
      <c r="W110" s="36"/>
      <c r="X110" s="36"/>
      <c r="Y110" s="36"/>
      <c r="Z110" s="36"/>
      <c r="AA110" s="36"/>
      <c r="AB110" s="36"/>
      <c r="AC110" s="36"/>
      <c r="AD110" s="36"/>
      <c r="AE110" s="36"/>
      <c r="AF110" s="36"/>
      <c r="AG110" s="36"/>
      <c r="AH110" s="36"/>
      <c r="AI110" s="36"/>
    </row>
    <row r="111" spans="1:35" s="25" customFormat="1" thickBot="1" x14ac:dyDescent="0.25">
      <c r="D111" s="240"/>
      <c r="F111" s="5"/>
      <c r="G111" s="211"/>
      <c r="I111" s="211"/>
      <c r="J111" s="321"/>
      <c r="K111" s="210"/>
      <c r="L111" s="83"/>
      <c r="M111" s="83"/>
      <c r="N111" s="83"/>
      <c r="O111" s="83"/>
      <c r="P111" s="83"/>
      <c r="Q111" s="211"/>
      <c r="R111" s="36"/>
      <c r="S111" s="36"/>
      <c r="T111" s="36"/>
      <c r="U111" s="36"/>
      <c r="V111" s="36"/>
      <c r="W111" s="36"/>
      <c r="X111" s="36"/>
      <c r="Y111" s="36"/>
      <c r="Z111" s="36"/>
      <c r="AA111" s="36"/>
      <c r="AB111" s="36"/>
      <c r="AC111" s="36"/>
      <c r="AD111" s="36"/>
      <c r="AE111" s="36"/>
      <c r="AF111" s="36"/>
      <c r="AG111" s="36"/>
      <c r="AH111" s="36"/>
      <c r="AI111" s="36"/>
    </row>
    <row r="112" spans="1:35" s="25" customFormat="1" thickBot="1" x14ac:dyDescent="0.25">
      <c r="A112" s="673" t="s">
        <v>179</v>
      </c>
      <c r="B112" s="674"/>
      <c r="C112" s="674"/>
      <c r="D112" s="674"/>
      <c r="E112" s="674"/>
      <c r="F112" s="675"/>
      <c r="G112" s="211"/>
      <c r="I112" s="211"/>
      <c r="L112" s="83"/>
      <c r="M112" s="83"/>
      <c r="N112" s="83"/>
      <c r="O112" s="83"/>
      <c r="P112" s="83"/>
      <c r="Q112" s="211"/>
      <c r="R112" s="36"/>
      <c r="S112" s="36"/>
      <c r="T112" s="36"/>
      <c r="U112" s="36"/>
      <c r="V112" s="36"/>
      <c r="W112" s="36"/>
      <c r="X112" s="36"/>
      <c r="Y112" s="36"/>
      <c r="Z112" s="36"/>
      <c r="AA112" s="36"/>
      <c r="AB112" s="36"/>
      <c r="AC112" s="36"/>
      <c r="AD112" s="36"/>
      <c r="AE112" s="36"/>
      <c r="AF112" s="36"/>
      <c r="AG112" s="36"/>
      <c r="AH112" s="36"/>
      <c r="AI112" s="36"/>
    </row>
    <row r="113" spans="1:35" s="25" customFormat="1" ht="12" x14ac:dyDescent="0.2">
      <c r="A113" s="84" t="s">
        <v>180</v>
      </c>
      <c r="B113" s="244" t="s">
        <v>181</v>
      </c>
      <c r="C113" s="244" t="s">
        <v>181</v>
      </c>
      <c r="D113" s="244" t="s">
        <v>181</v>
      </c>
      <c r="E113" s="85"/>
      <c r="F113" s="88" t="s">
        <v>181</v>
      </c>
      <c r="G113" s="211"/>
      <c r="H113" s="211"/>
      <c r="L113" s="83"/>
      <c r="M113" s="83"/>
      <c r="N113" s="83"/>
      <c r="O113" s="83"/>
      <c r="P113" s="83"/>
      <c r="Q113" s="211"/>
      <c r="R113" s="36"/>
      <c r="S113" s="36"/>
      <c r="T113" s="36"/>
      <c r="U113" s="36"/>
      <c r="V113" s="36"/>
      <c r="W113" s="36"/>
      <c r="X113" s="36"/>
      <c r="Y113" s="36"/>
      <c r="Z113" s="36"/>
      <c r="AA113" s="36"/>
      <c r="AB113" s="36"/>
      <c r="AC113" s="36"/>
      <c r="AD113" s="36"/>
      <c r="AE113" s="36"/>
      <c r="AF113" s="36"/>
      <c r="AG113" s="36"/>
      <c r="AH113" s="36"/>
      <c r="AI113" s="36"/>
    </row>
    <row r="114" spans="1:35" s="25" customFormat="1" ht="13.5" customHeight="1" thickBot="1" x14ac:dyDescent="0.25">
      <c r="A114" s="86" t="s">
        <v>182</v>
      </c>
      <c r="B114" s="269"/>
      <c r="C114" s="269"/>
      <c r="D114" s="150"/>
      <c r="E114" s="87" t="s">
        <v>181</v>
      </c>
      <c r="F114" s="89"/>
      <c r="G114" s="211"/>
      <c r="H114" s="211"/>
      <c r="L114" s="83"/>
      <c r="M114" s="83"/>
      <c r="N114" s="83"/>
      <c r="O114" s="83"/>
      <c r="P114" s="83"/>
      <c r="Q114" s="211"/>
      <c r="R114" s="36"/>
      <c r="S114" s="36"/>
      <c r="T114" s="36"/>
      <c r="U114" s="36"/>
      <c r="V114" s="36"/>
      <c r="W114" s="36"/>
      <c r="X114" s="36"/>
      <c r="Y114" s="36"/>
      <c r="Z114" s="36"/>
      <c r="AA114" s="36"/>
      <c r="AB114" s="36"/>
      <c r="AC114" s="36"/>
      <c r="AD114" s="36"/>
      <c r="AE114" s="36"/>
      <c r="AF114" s="36"/>
      <c r="AG114" s="36"/>
      <c r="AH114" s="36"/>
      <c r="AI114" s="36"/>
    </row>
    <row r="115" spans="1:35" s="25" customFormat="1" ht="13.5" thickBot="1" x14ac:dyDescent="0.25">
      <c r="A115" s="105"/>
      <c r="B115" s="105"/>
      <c r="C115" s="105"/>
      <c r="D115" s="657"/>
      <c r="E115" s="105"/>
      <c r="F115" s="105"/>
      <c r="G115" s="211"/>
      <c r="H115" s="211"/>
      <c r="L115" s="83"/>
      <c r="M115" s="83"/>
      <c r="N115" s="83"/>
      <c r="O115" s="83"/>
      <c r="P115" s="83"/>
      <c r="Q115" s="211"/>
      <c r="R115" s="36"/>
      <c r="S115" s="36"/>
      <c r="T115" s="36"/>
      <c r="U115" s="36"/>
      <c r="V115" s="36"/>
      <c r="W115" s="36"/>
      <c r="X115" s="36"/>
      <c r="Y115" s="36"/>
      <c r="Z115" s="36"/>
      <c r="AA115" s="36"/>
      <c r="AB115" s="36"/>
      <c r="AC115" s="36"/>
      <c r="AD115" s="36"/>
      <c r="AE115" s="36"/>
      <c r="AF115" s="36"/>
      <c r="AG115" s="36"/>
      <c r="AH115" s="36"/>
      <c r="AI115" s="36"/>
    </row>
    <row r="116" spans="1:35" ht="13.5" thickBot="1" x14ac:dyDescent="0.25">
      <c r="A116" s="334" t="s">
        <v>183</v>
      </c>
      <c r="B116" s="660" t="s">
        <v>184</v>
      </c>
      <c r="C116" s="661"/>
      <c r="D116" s="662" t="s">
        <v>185</v>
      </c>
      <c r="E116" s="663"/>
      <c r="F116" s="664" t="s">
        <v>186</v>
      </c>
      <c r="G116" s="665"/>
      <c r="H116" s="211"/>
      <c r="I116" s="25"/>
      <c r="Q116" s="211"/>
    </row>
    <row r="117" spans="1:35" x14ac:dyDescent="0.2">
      <c r="A117" s="335" t="s">
        <v>187</v>
      </c>
      <c r="B117" s="336"/>
      <c r="C117" s="337"/>
      <c r="D117" s="337"/>
      <c r="E117" s="337"/>
      <c r="F117" s="337"/>
      <c r="G117" s="338"/>
      <c r="H117" s="211"/>
      <c r="I117" s="25"/>
    </row>
    <row r="118" spans="1:35" x14ac:dyDescent="0.2">
      <c r="A118" s="339" t="s">
        <v>188</v>
      </c>
      <c r="B118" s="340">
        <v>4</v>
      </c>
      <c r="C118" s="340"/>
      <c r="D118" s="341">
        <v>3</v>
      </c>
      <c r="E118" s="341">
        <v>2</v>
      </c>
      <c r="F118" s="342">
        <v>1</v>
      </c>
      <c r="G118" s="343">
        <v>0</v>
      </c>
      <c r="H118" s="211"/>
      <c r="J118" s="476" t="s">
        <v>189</v>
      </c>
    </row>
    <row r="119" spans="1:35" x14ac:dyDescent="0.2">
      <c r="A119" s="339" t="s">
        <v>190</v>
      </c>
      <c r="B119" s="344">
        <v>4</v>
      </c>
      <c r="C119" s="345">
        <v>3</v>
      </c>
      <c r="D119" s="346"/>
      <c r="E119" s="346">
        <v>2</v>
      </c>
      <c r="F119" s="342">
        <v>1</v>
      </c>
      <c r="G119" s="348">
        <v>0</v>
      </c>
      <c r="H119" s="216"/>
      <c r="J119" s="113" t="s">
        <v>52</v>
      </c>
    </row>
    <row r="120" spans="1:35" x14ac:dyDescent="0.2">
      <c r="A120" s="349" t="s">
        <v>124</v>
      </c>
      <c r="B120" s="350"/>
      <c r="C120" s="351"/>
      <c r="D120" s="351"/>
      <c r="E120" s="351"/>
      <c r="F120" s="351"/>
      <c r="G120" s="352"/>
      <c r="H120" s="216"/>
    </row>
    <row r="121" spans="1:35" x14ac:dyDescent="0.2">
      <c r="A121" s="339" t="str">
        <f t="shared" ref="A121:A128" si="20">A39</f>
        <v>Ready MH-53E SAR/MEDEVAC Mission Systems (C)</v>
      </c>
      <c r="B121" s="353">
        <v>4</v>
      </c>
      <c r="C121" s="353">
        <v>3</v>
      </c>
      <c r="D121" s="354">
        <v>2</v>
      </c>
      <c r="E121" s="346"/>
      <c r="F121" s="355">
        <v>1</v>
      </c>
      <c r="G121" s="356">
        <v>0</v>
      </c>
      <c r="H121" s="216"/>
    </row>
    <row r="122" spans="1:35" x14ac:dyDescent="0.2">
      <c r="A122" s="339" t="str">
        <f t="shared" si="20"/>
        <v>Ready MH-53E Logistics Support Mission Systems (D)</v>
      </c>
      <c r="B122" s="340">
        <v>4</v>
      </c>
      <c r="C122" s="353">
        <v>3</v>
      </c>
      <c r="D122" s="341">
        <v>2</v>
      </c>
      <c r="E122" s="346"/>
      <c r="F122" s="355">
        <v>1</v>
      </c>
      <c r="G122" s="356">
        <v>0</v>
      </c>
      <c r="H122" s="216"/>
    </row>
    <row r="123" spans="1:35" x14ac:dyDescent="0.2">
      <c r="A123" s="339" t="str">
        <f t="shared" si="20"/>
        <v>Ready MH-53E Expanded Mobility Mission Systems (E)</v>
      </c>
      <c r="B123" s="340">
        <v>4</v>
      </c>
      <c r="C123" s="353">
        <v>3</v>
      </c>
      <c r="D123" s="341">
        <v>2</v>
      </c>
      <c r="E123" s="346"/>
      <c r="F123" s="355">
        <v>1</v>
      </c>
      <c r="G123" s="356">
        <v>0</v>
      </c>
      <c r="H123" s="216"/>
    </row>
    <row r="124" spans="1:35" x14ac:dyDescent="0.2">
      <c r="A124" s="339" t="str">
        <f t="shared" si="20"/>
        <v>Ready MH-53E SUW and Special Warfare Mission Systems (F)</v>
      </c>
      <c r="B124" s="340">
        <v>4</v>
      </c>
      <c r="C124" s="353">
        <v>3</v>
      </c>
      <c r="D124" s="341">
        <v>2</v>
      </c>
      <c r="E124" s="346"/>
      <c r="F124" s="355">
        <v>1</v>
      </c>
      <c r="G124" s="356">
        <v>0</v>
      </c>
      <c r="H124" s="216"/>
    </row>
    <row r="125" spans="1:35" x14ac:dyDescent="0.2">
      <c r="A125" s="339" t="str">
        <f t="shared" si="20"/>
        <v>Ready MH-53E Real-Time Diagnostics and Fault Monitoring Systems (I)</v>
      </c>
      <c r="B125" s="340">
        <v>4</v>
      </c>
      <c r="C125" s="353">
        <v>3</v>
      </c>
      <c r="D125" s="341">
        <v>2</v>
      </c>
      <c r="E125" s="346"/>
      <c r="F125" s="355">
        <v>1</v>
      </c>
      <c r="G125" s="343">
        <v>0</v>
      </c>
      <c r="H125" s="216"/>
    </row>
    <row r="126" spans="1:35" x14ac:dyDescent="0.2">
      <c r="A126" s="339" t="str">
        <f t="shared" si="20"/>
        <v>Ready MH-53E Airborne Mine Counter Measures Mission (AMCM) Systems (J)</v>
      </c>
      <c r="B126" s="344">
        <v>4</v>
      </c>
      <c r="C126" s="353">
        <v>3</v>
      </c>
      <c r="D126" s="346">
        <v>2</v>
      </c>
      <c r="E126" s="346"/>
      <c r="F126" s="355">
        <v>1</v>
      </c>
      <c r="G126" s="348">
        <v>0</v>
      </c>
      <c r="H126" s="216"/>
    </row>
    <row r="127" spans="1:35" x14ac:dyDescent="0.2">
      <c r="A127" s="339" t="str">
        <f t="shared" si="20"/>
        <v>Ready MH-53E Shipboard Mission Systems (K)</v>
      </c>
      <c r="B127" s="344">
        <v>4</v>
      </c>
      <c r="C127" s="353">
        <v>3</v>
      </c>
      <c r="D127" s="346">
        <v>2</v>
      </c>
      <c r="E127" s="346"/>
      <c r="F127" s="355">
        <v>1</v>
      </c>
      <c r="G127" s="348">
        <v>0</v>
      </c>
      <c r="H127" s="216"/>
    </row>
    <row r="128" spans="1:35" x14ac:dyDescent="0.2">
      <c r="A128" s="339" t="str">
        <f t="shared" si="20"/>
        <v>Ready MH-53E IMC Flight Mission Systems (L)</v>
      </c>
      <c r="B128" s="344">
        <v>4</v>
      </c>
      <c r="C128" s="353">
        <v>3</v>
      </c>
      <c r="D128" s="346">
        <v>2</v>
      </c>
      <c r="E128" s="346"/>
      <c r="F128" s="355">
        <v>1</v>
      </c>
      <c r="G128" s="348">
        <v>0</v>
      </c>
      <c r="H128" s="216"/>
    </row>
    <row r="129" spans="1:7" x14ac:dyDescent="0.2">
      <c r="A129" s="357" t="s">
        <v>133</v>
      </c>
      <c r="B129" s="350"/>
      <c r="C129" s="351"/>
      <c r="D129" s="351"/>
      <c r="E129" s="351"/>
      <c r="F129" s="351"/>
      <c r="G129" s="352"/>
    </row>
    <row r="130" spans="1:7" x14ac:dyDescent="0.2">
      <c r="A130" s="339" t="str">
        <f t="shared" ref="A130:A141" si="21">A48</f>
        <v>Assigned Guns Sets</v>
      </c>
      <c r="B130" s="344">
        <v>8</v>
      </c>
      <c r="C130" s="340"/>
      <c r="D130" s="346">
        <v>7</v>
      </c>
      <c r="E130" s="346">
        <v>6</v>
      </c>
      <c r="F130" s="347">
        <v>5</v>
      </c>
      <c r="G130" s="348">
        <v>0</v>
      </c>
    </row>
    <row r="131" spans="1:7" x14ac:dyDescent="0.2">
      <c r="A131" s="339" t="str">
        <f t="shared" si="21"/>
        <v>Ready Guns Sets</v>
      </c>
      <c r="B131" s="344">
        <v>8</v>
      </c>
      <c r="C131" s="340">
        <v>6</v>
      </c>
      <c r="D131" s="346">
        <v>5</v>
      </c>
      <c r="E131" s="346">
        <v>3</v>
      </c>
      <c r="F131" s="347">
        <v>2</v>
      </c>
      <c r="G131" s="348">
        <v>0</v>
      </c>
    </row>
    <row r="132" spans="1:7" x14ac:dyDescent="0.2">
      <c r="A132" s="339" t="str">
        <f t="shared" si="21"/>
        <v>Assigned MK 103 Sets</v>
      </c>
      <c r="B132" s="344">
        <v>4</v>
      </c>
      <c r="C132" s="340"/>
      <c r="D132" s="346">
        <v>3</v>
      </c>
      <c r="E132" s="346"/>
      <c r="F132" s="347">
        <v>2</v>
      </c>
      <c r="G132" s="348">
        <v>0</v>
      </c>
    </row>
    <row r="133" spans="1:7" x14ac:dyDescent="0.2">
      <c r="A133" s="339" t="str">
        <f t="shared" si="21"/>
        <v>Ready MK 103 Sets</v>
      </c>
      <c r="B133" s="344">
        <v>4</v>
      </c>
      <c r="C133" s="340">
        <v>3</v>
      </c>
      <c r="D133" s="346">
        <v>2</v>
      </c>
      <c r="E133" s="346"/>
      <c r="F133" s="347">
        <v>1</v>
      </c>
      <c r="G133" s="348">
        <v>0</v>
      </c>
    </row>
    <row r="134" spans="1:7" x14ac:dyDescent="0.2">
      <c r="A134" s="339" t="str">
        <f t="shared" si="21"/>
        <v>Assigned MK 104 Sets</v>
      </c>
      <c r="B134" s="344">
        <v>2</v>
      </c>
      <c r="C134" s="340"/>
      <c r="D134" s="346">
        <v>1</v>
      </c>
      <c r="E134" s="346"/>
      <c r="F134" s="347"/>
      <c r="G134" s="348">
        <v>0</v>
      </c>
    </row>
    <row r="135" spans="1:7" x14ac:dyDescent="0.2">
      <c r="A135" s="339" t="str">
        <f t="shared" si="21"/>
        <v>Ready MK 104 Sets</v>
      </c>
      <c r="B135" s="344">
        <v>2</v>
      </c>
      <c r="C135" s="340">
        <v>1</v>
      </c>
      <c r="D135" s="346"/>
      <c r="E135" s="346"/>
      <c r="F135" s="347"/>
      <c r="G135" s="348">
        <v>0</v>
      </c>
    </row>
    <row r="136" spans="1:7" x14ac:dyDescent="0.2">
      <c r="A136" s="339" t="str">
        <f t="shared" si="21"/>
        <v>Assigned MK 105 Sets</v>
      </c>
      <c r="B136" s="344">
        <v>3</v>
      </c>
      <c r="C136" s="340"/>
      <c r="D136" s="346">
        <v>2</v>
      </c>
      <c r="E136" s="346"/>
      <c r="F136" s="347">
        <v>1</v>
      </c>
      <c r="G136" s="348">
        <v>0</v>
      </c>
    </row>
    <row r="137" spans="1:7" x14ac:dyDescent="0.2">
      <c r="A137" s="339" t="str">
        <f t="shared" si="21"/>
        <v>Ready MK 105 Sets</v>
      </c>
      <c r="B137" s="344">
        <v>3</v>
      </c>
      <c r="C137" s="340">
        <v>2</v>
      </c>
      <c r="D137" s="346">
        <v>1</v>
      </c>
      <c r="E137" s="346"/>
      <c r="F137" s="347"/>
      <c r="G137" s="348">
        <v>0</v>
      </c>
    </row>
    <row r="138" spans="1:7" x14ac:dyDescent="0.2">
      <c r="A138" s="339" t="str">
        <f t="shared" si="21"/>
        <v>Assigned Q24 Sets</v>
      </c>
      <c r="B138" s="344">
        <v>4</v>
      </c>
      <c r="C138" s="340"/>
      <c r="D138" s="346">
        <v>3</v>
      </c>
      <c r="E138" s="346"/>
      <c r="F138" s="347">
        <v>2</v>
      </c>
      <c r="G138" s="348">
        <v>0</v>
      </c>
    </row>
    <row r="139" spans="1:7" x14ac:dyDescent="0.2">
      <c r="A139" s="339" t="str">
        <f t="shared" si="21"/>
        <v>Ready Q24 Sets</v>
      </c>
      <c r="B139" s="344">
        <v>4</v>
      </c>
      <c r="C139" s="340">
        <v>3</v>
      </c>
      <c r="D139" s="346">
        <v>2</v>
      </c>
      <c r="E139" s="346"/>
      <c r="F139" s="347">
        <v>1</v>
      </c>
      <c r="G139" s="348">
        <v>0</v>
      </c>
    </row>
    <row r="140" spans="1:7" x14ac:dyDescent="0.2">
      <c r="A140" s="339" t="str">
        <f t="shared" si="21"/>
        <v>Assigned MOP Sets</v>
      </c>
      <c r="B140" s="344">
        <v>2</v>
      </c>
      <c r="C140" s="340"/>
      <c r="D140" s="346">
        <v>1</v>
      </c>
      <c r="E140" s="346"/>
      <c r="F140" s="347"/>
      <c r="G140" s="348">
        <v>0</v>
      </c>
    </row>
    <row r="141" spans="1:7" ht="13.5" thickBot="1" x14ac:dyDescent="0.25">
      <c r="A141" s="358" t="str">
        <f t="shared" si="21"/>
        <v>Ready MOP Sets</v>
      </c>
      <c r="B141" s="362">
        <v>2</v>
      </c>
      <c r="C141" s="362">
        <v>1</v>
      </c>
      <c r="D141" s="359"/>
      <c r="E141" s="359"/>
      <c r="F141" s="360"/>
      <c r="G141" s="361">
        <v>0</v>
      </c>
    </row>
    <row r="142" spans="1:7" x14ac:dyDescent="0.2">
      <c r="A142"/>
      <c r="B142"/>
      <c r="C142"/>
      <c r="D142" s="181"/>
      <c r="E142" s="181"/>
      <c r="F142" s="181"/>
      <c r="G142" s="181"/>
    </row>
    <row r="144" spans="1:7" x14ac:dyDescent="0.2">
      <c r="A144" s="529" t="s">
        <v>191</v>
      </c>
      <c r="B144" s="529" t="s">
        <v>192</v>
      </c>
      <c r="D144" s="657"/>
    </row>
    <row r="145" spans="1:2" x14ac:dyDescent="0.2">
      <c r="A145" s="545" t="s">
        <v>193</v>
      </c>
      <c r="B145" s="530">
        <f>HLOOKUP($B$144,'MH-53E Mission System Summary'!$B$1:$F$12,2,FALSE)</f>
        <v>0.47562377831436131</v>
      </c>
    </row>
    <row r="146" spans="1:2" x14ac:dyDescent="0.2">
      <c r="A146" s="522" t="s">
        <v>125</v>
      </c>
      <c r="B146" s="530">
        <f>HLOOKUP($B$144,'MH-53E Mission System Summary'!$B$1:$F$12,3,FALSE)</f>
        <v>0.1843451764976429</v>
      </c>
    </row>
    <row r="147" spans="1:2" x14ac:dyDescent="0.2">
      <c r="A147" s="522" t="s">
        <v>126</v>
      </c>
      <c r="B147" s="530">
        <f>HLOOKUP($B$144,'MH-53E Mission System Summary'!$B$1:$F$12,4,FALSE)</f>
        <v>0.17296194089916064</v>
      </c>
    </row>
    <row r="148" spans="1:2" x14ac:dyDescent="0.2">
      <c r="A148" s="522" t="s">
        <v>127</v>
      </c>
      <c r="B148" s="530">
        <f>HLOOKUP($B$144,'MH-53E Mission System Summary'!$B$1:$F$12,5,FALSE)</f>
        <v>0.20774404967230081</v>
      </c>
    </row>
    <row r="149" spans="1:2" x14ac:dyDescent="0.2">
      <c r="A149" s="525" t="s">
        <v>128</v>
      </c>
      <c r="B149" s="530">
        <f>HLOOKUP($B$144,'MH-53E Mission System Summary'!$B$1:$F$12,6,FALSE)</f>
        <v>0</v>
      </c>
    </row>
    <row r="150" spans="1:2" x14ac:dyDescent="0.2">
      <c r="A150" s="522" t="s">
        <v>129</v>
      </c>
      <c r="B150" s="530">
        <f>HLOOKUP($B$144,'MH-53E Mission System Summary'!$B$1:$F$12,7,FALSE)</f>
        <v>0</v>
      </c>
    </row>
    <row r="151" spans="1:2" x14ac:dyDescent="0.2">
      <c r="A151" s="522" t="s">
        <v>130</v>
      </c>
      <c r="B151" s="530">
        <f>HLOOKUP($B$144,'MH-53E Mission System Summary'!$B$1:$F$12,8,FALSE)</f>
        <v>0.18466137748648961</v>
      </c>
    </row>
    <row r="152" spans="1:2" x14ac:dyDescent="0.2">
      <c r="A152" s="522" t="s">
        <v>131</v>
      </c>
      <c r="B152" s="530">
        <f>HLOOKUP($B$144,'MH-53E Mission System Summary'!$B$1:$F$12,9,FALSE)</f>
        <v>0.21912728527078304</v>
      </c>
    </row>
    <row r="153" spans="1:2" x14ac:dyDescent="0.2">
      <c r="A153" s="522" t="s">
        <v>132</v>
      </c>
      <c r="B153" s="530">
        <f>HLOOKUP($B$144,'MH-53E Mission System Summary'!$B$1:$F$12,10,FALSE)</f>
        <v>1</v>
      </c>
    </row>
  </sheetData>
  <mergeCells count="9">
    <mergeCell ref="B116:C116"/>
    <mergeCell ref="D116:E116"/>
    <mergeCell ref="F116:G116"/>
    <mergeCell ref="A1:C1"/>
    <mergeCell ref="M17:P17"/>
    <mergeCell ref="M29:Q29"/>
    <mergeCell ref="M49:N49"/>
    <mergeCell ref="A84:F84"/>
    <mergeCell ref="A112:F112"/>
  </mergeCells>
  <conditionalFormatting sqref="C131:C133 C118:C128">
    <cfRule type="cellIs" dxfId="166" priority="29" operator="equal">
      <formula>B118</formula>
    </cfRule>
  </conditionalFormatting>
  <conditionalFormatting sqref="D131:E133 D118:E128">
    <cfRule type="cellIs" dxfId="165" priority="28" operator="equal">
      <formula>C118</formula>
    </cfRule>
  </conditionalFormatting>
  <conditionalFormatting sqref="E118">
    <cfRule type="cellIs" dxfId="164" priority="27" operator="equal">
      <formula>D118</formula>
    </cfRule>
  </conditionalFormatting>
  <conditionalFormatting sqref="F118">
    <cfRule type="cellIs" dxfId="163" priority="26" operator="equal">
      <formula>E118</formula>
    </cfRule>
  </conditionalFormatting>
  <conditionalFormatting sqref="C118:C128">
    <cfRule type="cellIs" dxfId="162" priority="25" operator="equal">
      <formula>B118</formula>
    </cfRule>
  </conditionalFormatting>
  <conditionalFormatting sqref="D118:E128">
    <cfRule type="cellIs" dxfId="161" priority="24" operator="equal">
      <formula>C118</formula>
    </cfRule>
  </conditionalFormatting>
  <conditionalFormatting sqref="E118">
    <cfRule type="cellIs" dxfId="160" priority="23" operator="equal">
      <formula>D118</formula>
    </cfRule>
  </conditionalFormatting>
  <conditionalFormatting sqref="F118">
    <cfRule type="cellIs" dxfId="159" priority="22" operator="equal">
      <formula>E118</formula>
    </cfRule>
  </conditionalFormatting>
  <conditionalFormatting sqref="F118">
    <cfRule type="cellIs" dxfId="158" priority="21" operator="equal">
      <formula>E118</formula>
    </cfRule>
  </conditionalFormatting>
  <conditionalFormatting sqref="C118">
    <cfRule type="cellIs" dxfId="157" priority="20" operator="equal">
      <formula>B118</formula>
    </cfRule>
  </conditionalFormatting>
  <conditionalFormatting sqref="D118">
    <cfRule type="cellIs" dxfId="156" priority="19" operator="equal">
      <formula>C118</formula>
    </cfRule>
  </conditionalFormatting>
  <conditionalFormatting sqref="E118">
    <cfRule type="cellIs" dxfId="155" priority="18" operator="equal">
      <formula>D118</formula>
    </cfRule>
  </conditionalFormatting>
  <conditionalFormatting sqref="D118">
    <cfRule type="cellIs" dxfId="154" priority="17" operator="equal">
      <formula>C118</formula>
    </cfRule>
  </conditionalFormatting>
  <conditionalFormatting sqref="E118">
    <cfRule type="cellIs" dxfId="153" priority="16" operator="equal">
      <formula>D118</formula>
    </cfRule>
  </conditionalFormatting>
  <conditionalFormatting sqref="C130:C141">
    <cfRule type="cellIs" dxfId="152" priority="15" operator="equal">
      <formula>B130</formula>
    </cfRule>
  </conditionalFormatting>
  <conditionalFormatting sqref="D130:E141">
    <cfRule type="cellIs" dxfId="151" priority="14" operator="equal">
      <formula>C130</formula>
    </cfRule>
  </conditionalFormatting>
  <conditionalFormatting sqref="F130:F141">
    <cfRule type="cellIs" dxfId="150" priority="12" operator="equal">
      <formula>G130</formula>
    </cfRule>
    <cfRule type="cellIs" dxfId="149" priority="13" operator="equal">
      <formula>E130</formula>
    </cfRule>
  </conditionalFormatting>
  <conditionalFormatting sqref="C130:C141">
    <cfRule type="cellIs" dxfId="148" priority="11" operator="equal">
      <formula>B130</formula>
    </cfRule>
  </conditionalFormatting>
  <conditionalFormatting sqref="D130:E141">
    <cfRule type="cellIs" dxfId="147" priority="10" operator="equal">
      <formula>C130</formula>
    </cfRule>
  </conditionalFormatting>
  <conditionalFormatting sqref="F130:F141">
    <cfRule type="cellIs" dxfId="146" priority="8" operator="equal">
      <formula>G130</formula>
    </cfRule>
    <cfRule type="cellIs" dxfId="145" priority="9" operator="equal">
      <formula>E130</formula>
    </cfRule>
  </conditionalFormatting>
  <conditionalFormatting sqref="C129">
    <cfRule type="cellIs" dxfId="144" priority="7" operator="equal">
      <formula>B129</formula>
    </cfRule>
  </conditionalFormatting>
  <conditionalFormatting sqref="D129:E129">
    <cfRule type="cellIs" dxfId="143" priority="6" operator="equal">
      <formula>C129</formula>
    </cfRule>
  </conditionalFormatting>
  <conditionalFormatting sqref="F129">
    <cfRule type="cellIs" dxfId="142" priority="4" operator="equal">
      <formula>G129</formula>
    </cfRule>
    <cfRule type="cellIs" dxfId="141" priority="5" operator="equal">
      <formula>E129</formula>
    </cfRule>
  </conditionalFormatting>
  <conditionalFormatting sqref="F119">
    <cfRule type="cellIs" dxfId="140" priority="3" operator="equal">
      <formula>E119</formula>
    </cfRule>
  </conditionalFormatting>
  <conditionalFormatting sqref="F119">
    <cfRule type="cellIs" dxfId="139" priority="2" operator="equal">
      <formula>E119</formula>
    </cfRule>
  </conditionalFormatting>
  <conditionalFormatting sqref="F119">
    <cfRule type="cellIs" dxfId="138" priority="1" operator="equal">
      <formula>E119</formula>
    </cfRule>
  </conditionalFormatting>
  <dataValidations count="1">
    <dataValidation type="list" allowBlank="1" showInputMessage="1" showErrorMessage="1" sqref="N20" xr:uid="{00000000-0002-0000-0200-000000000000}">
      <formula1>$B$14:$E$14</formula1>
    </dataValidation>
  </dataValidations>
  <hyperlinks>
    <hyperlink ref="F1" location="Inventory!A1" display="Inventory" xr:uid="{00000000-0004-0000-0200-000000000000}"/>
    <hyperlink ref="J118" location="'HM - 3 AC 3 Crew'!A1" display="Top" xr:uid="{00000000-0004-0000-0200-000001000000}"/>
    <hyperlink ref="F2" location="'HM - 3 AC 3 Crew'!A155" display="AMFOM" xr:uid="{00000000-0004-0000-0200-000002000000}"/>
    <hyperlink ref="J119" location="Inventory!A1" display="Inventory" xr:uid="{00000000-0004-0000-0200-000003000000}"/>
  </hyperlinks>
  <pageMargins left="0.5" right="0.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153"/>
  <sheetViews>
    <sheetView showGridLines="0" zoomScaleNormal="100" workbookViewId="0">
      <selection activeCell="F1" sqref="F1"/>
    </sheetView>
  </sheetViews>
  <sheetFormatPr defaultRowHeight="12.75" x14ac:dyDescent="0.2"/>
  <cols>
    <col min="1" max="1" width="60" style="105" customWidth="1"/>
    <col min="2" max="3" width="5.7109375" style="105" customWidth="1"/>
    <col min="4" max="4" width="5.7109375" style="151" customWidth="1"/>
    <col min="5" max="6" width="5.7109375" style="105" customWidth="1"/>
    <col min="7" max="8" width="5.7109375" style="213" customWidth="1"/>
    <col min="9" max="9" width="6.28515625" style="105" bestFit="1" customWidth="1"/>
    <col min="10" max="10" width="13.7109375" style="105" customWidth="1"/>
    <col min="11" max="11" width="5.7109375" style="105" customWidth="1"/>
    <col min="12" max="12" width="5.7109375" style="83" customWidth="1"/>
    <col min="13" max="13" width="13.7109375" style="83" customWidth="1"/>
    <col min="14" max="14" width="10.42578125" style="83" bestFit="1" customWidth="1"/>
    <col min="15" max="15" width="11.85546875" style="83" bestFit="1" customWidth="1"/>
    <col min="16" max="16" width="13.7109375" style="83" bestFit="1" customWidth="1"/>
    <col min="17" max="17" width="18.5703125" style="213" bestFit="1" customWidth="1"/>
    <col min="18" max="19" width="3" style="115" bestFit="1" customWidth="1"/>
    <col min="20" max="20" width="4" style="115" bestFit="1" customWidth="1"/>
    <col min="21" max="21" width="9.140625" style="115" customWidth="1"/>
    <col min="22" max="35" width="9.140625" style="115"/>
    <col min="36" max="16384" width="9.140625" style="105"/>
  </cols>
  <sheetData>
    <row r="1" spans="1:32" s="64" customFormat="1" ht="18.75" x14ac:dyDescent="0.3">
      <c r="A1" s="666" t="s">
        <v>194</v>
      </c>
      <c r="B1" s="666"/>
      <c r="C1" s="666"/>
      <c r="D1" s="61"/>
      <c r="F1" s="113" t="s">
        <v>52</v>
      </c>
      <c r="G1" s="61"/>
      <c r="H1" s="61"/>
      <c r="I1" s="60" t="s">
        <v>53</v>
      </c>
      <c r="J1" s="373">
        <v>44866</v>
      </c>
      <c r="K1" s="373"/>
      <c r="L1" s="64" t="s">
        <v>54</v>
      </c>
      <c r="M1" s="515" t="s">
        <v>195</v>
      </c>
      <c r="N1" s="273"/>
      <c r="O1" s="273"/>
      <c r="P1" s="273"/>
      <c r="Q1" s="213"/>
      <c r="V1" s="62"/>
      <c r="W1" s="62"/>
      <c r="X1" s="62"/>
      <c r="Y1" s="62"/>
      <c r="Z1" s="62"/>
      <c r="AA1" s="62"/>
      <c r="AB1" s="62"/>
      <c r="AC1" s="62"/>
      <c r="AD1" s="62"/>
      <c r="AE1" s="62"/>
      <c r="AF1" s="62"/>
    </row>
    <row r="2" spans="1:32" s="36" customFormat="1" x14ac:dyDescent="0.2">
      <c r="A2" s="217" t="s">
        <v>56</v>
      </c>
      <c r="B2" s="217">
        <v>4</v>
      </c>
      <c r="C2" s="217"/>
      <c r="F2" s="476" t="s">
        <v>3</v>
      </c>
      <c r="G2" s="211"/>
      <c r="H2" s="211"/>
      <c r="K2" s="210"/>
      <c r="L2" s="274"/>
      <c r="M2" s="274"/>
      <c r="N2" s="274"/>
      <c r="O2" s="274"/>
      <c r="P2" s="274"/>
      <c r="Q2" s="211"/>
    </row>
    <row r="3" spans="1:32" s="36" customFormat="1" ht="12" x14ac:dyDescent="0.2">
      <c r="A3" s="217" t="s">
        <v>57</v>
      </c>
      <c r="B3" s="234">
        <f>B4/B2</f>
        <v>1</v>
      </c>
      <c r="C3" s="217"/>
      <c r="G3" s="211"/>
      <c r="H3" s="211"/>
      <c r="K3" s="272"/>
      <c r="L3" s="274"/>
      <c r="M3" s="274"/>
      <c r="N3" s="274"/>
      <c r="O3" s="274"/>
      <c r="P3" s="274"/>
      <c r="Q3" s="211"/>
    </row>
    <row r="4" spans="1:32" s="36" customFormat="1" ht="12" x14ac:dyDescent="0.2">
      <c r="A4" s="217" t="s">
        <v>58</v>
      </c>
      <c r="B4" s="217">
        <v>4</v>
      </c>
      <c r="C4" s="217"/>
      <c r="G4" s="211"/>
      <c r="H4" s="211"/>
      <c r="K4" s="272"/>
      <c r="L4" s="274"/>
      <c r="M4" s="274"/>
      <c r="N4" s="274"/>
      <c r="O4" s="274"/>
      <c r="P4" s="274"/>
      <c r="Q4" s="211"/>
    </row>
    <row r="5" spans="1:32" s="36" customFormat="1" ht="12" x14ac:dyDescent="0.2">
      <c r="A5" s="217" t="s">
        <v>59</v>
      </c>
      <c r="B5" s="234">
        <v>2</v>
      </c>
      <c r="C5" s="217"/>
      <c r="G5" s="211"/>
      <c r="H5" s="211"/>
      <c r="K5" s="272"/>
      <c r="L5" s="274"/>
      <c r="M5" s="274"/>
      <c r="N5" s="274"/>
      <c r="O5" s="274"/>
      <c r="P5" s="274"/>
      <c r="Q5" s="211"/>
    </row>
    <row r="6" spans="1:32" s="36" customFormat="1" ht="12" x14ac:dyDescent="0.2">
      <c r="A6" s="217" t="s">
        <v>60</v>
      </c>
      <c r="B6" s="235">
        <v>24.8</v>
      </c>
      <c r="C6" s="217"/>
      <c r="G6" s="211"/>
      <c r="H6" s="211"/>
      <c r="K6" s="272"/>
      <c r="L6" s="275"/>
      <c r="M6" s="274"/>
      <c r="N6" s="274"/>
      <c r="O6" s="274"/>
      <c r="P6" s="274"/>
      <c r="Q6" s="211"/>
    </row>
    <row r="7" spans="1:32" s="36" customFormat="1" ht="12" x14ac:dyDescent="0.2">
      <c r="A7" s="217" t="s">
        <v>61</v>
      </c>
      <c r="B7" s="234">
        <f xml:space="preserve"> PRODUCT(B4,B6)</f>
        <v>99.2</v>
      </c>
      <c r="C7" s="217"/>
      <c r="G7" s="211"/>
      <c r="H7" s="211"/>
      <c r="K7" s="314"/>
      <c r="L7" s="314"/>
      <c r="M7" s="314"/>
      <c r="N7" s="314"/>
      <c r="O7" s="274"/>
      <c r="P7" s="274"/>
      <c r="Q7" s="211"/>
    </row>
    <row r="8" spans="1:32" s="36" customFormat="1" ht="12" x14ac:dyDescent="0.2">
      <c r="A8" s="217" t="s">
        <v>62</v>
      </c>
      <c r="B8" s="234">
        <f>B7/B5</f>
        <v>49.6</v>
      </c>
      <c r="C8" s="217"/>
      <c r="E8" s="219"/>
      <c r="G8" s="211"/>
      <c r="H8" s="211"/>
      <c r="K8" s="314"/>
      <c r="L8" s="314"/>
      <c r="M8" s="314"/>
      <c r="N8" s="314"/>
      <c r="O8" s="274"/>
      <c r="P8" s="274"/>
      <c r="Q8" s="211"/>
    </row>
    <row r="9" spans="1:32" s="36" customFormat="1" ht="12" x14ac:dyDescent="0.2">
      <c r="A9" s="217" t="s">
        <v>63</v>
      </c>
      <c r="B9" s="217">
        <f>C9*B4</f>
        <v>4</v>
      </c>
      <c r="C9" s="36">
        <v>1</v>
      </c>
      <c r="D9" s="220" t="s">
        <v>64</v>
      </c>
      <c r="G9" s="211"/>
      <c r="H9" s="252" t="s">
        <v>65</v>
      </c>
      <c r="I9" s="222">
        <v>0.4</v>
      </c>
      <c r="J9" s="222"/>
      <c r="K9" s="314"/>
      <c r="L9" s="314"/>
      <c r="M9" s="314"/>
      <c r="N9" s="314"/>
      <c r="O9" s="274"/>
      <c r="P9" s="274"/>
      <c r="Q9" s="211"/>
    </row>
    <row r="10" spans="1:32" s="36" customFormat="1" ht="12" x14ac:dyDescent="0.2">
      <c r="A10" s="217" t="s">
        <v>66</v>
      </c>
      <c r="B10" s="217">
        <f>C10*B4</f>
        <v>58.4</v>
      </c>
      <c r="C10" s="223">
        <v>14.6</v>
      </c>
      <c r="D10" s="220" t="s">
        <v>64</v>
      </c>
      <c r="G10" s="211"/>
      <c r="H10" s="254" t="s">
        <v>67</v>
      </c>
      <c r="I10" s="222">
        <v>7.2999999999999995E-2</v>
      </c>
      <c r="J10" s="222"/>
      <c r="K10" s="314"/>
      <c r="L10" s="314"/>
      <c r="M10" s="314"/>
      <c r="N10" s="314"/>
      <c r="O10" s="274"/>
      <c r="P10" s="274"/>
      <c r="Q10" s="211"/>
    </row>
    <row r="11" spans="1:32" s="36" customFormat="1" ht="12" x14ac:dyDescent="0.2">
      <c r="A11" s="226" t="s">
        <v>68</v>
      </c>
      <c r="B11" s="236">
        <f>C11*B4</f>
        <v>0</v>
      </c>
      <c r="C11" s="227">
        <v>0</v>
      </c>
      <c r="D11" s="220" t="s">
        <v>64</v>
      </c>
      <c r="G11" s="211"/>
      <c r="H11" s="211"/>
      <c r="K11" s="314"/>
      <c r="L11" s="314"/>
      <c r="M11" s="314"/>
      <c r="N11" s="314"/>
      <c r="O11" s="274"/>
      <c r="P11" s="274"/>
      <c r="Q11" s="211"/>
    </row>
    <row r="12" spans="1:32" s="36" customFormat="1" ht="12" x14ac:dyDescent="0.2">
      <c r="A12" s="217"/>
      <c r="B12" s="217"/>
      <c r="C12" s="217"/>
      <c r="D12" s="233"/>
      <c r="E12" s="217"/>
      <c r="F12" s="35"/>
      <c r="G12" s="211"/>
      <c r="H12" s="211"/>
      <c r="K12" s="314"/>
      <c r="L12" s="314"/>
      <c r="M12" s="314"/>
      <c r="N12" s="314"/>
      <c r="O12" s="274"/>
      <c r="P12" s="274"/>
      <c r="Q12" s="211"/>
    </row>
    <row r="13" spans="1:32" s="36" customFormat="1" ht="59.25" x14ac:dyDescent="0.4">
      <c r="A13" s="33" t="s">
        <v>69</v>
      </c>
      <c r="B13" s="148" t="s">
        <v>70</v>
      </c>
      <c r="C13" s="148" t="s">
        <v>71</v>
      </c>
      <c r="D13" s="148" t="s">
        <v>72</v>
      </c>
      <c r="E13" s="34" t="s">
        <v>73</v>
      </c>
      <c r="F13" s="65" t="s">
        <v>74</v>
      </c>
      <c r="G13" s="211"/>
      <c r="H13" s="211"/>
      <c r="K13" s="314"/>
      <c r="L13" s="314"/>
      <c r="M13" s="276" t="s">
        <v>75</v>
      </c>
      <c r="N13" s="314"/>
      <c r="O13" s="277"/>
      <c r="P13" s="277"/>
      <c r="Q13" s="211"/>
    </row>
    <row r="14" spans="1:32" s="36" customFormat="1" ht="12" x14ac:dyDescent="0.2">
      <c r="A14" s="33" t="s">
        <v>76</v>
      </c>
      <c r="B14" s="237" t="s">
        <v>77</v>
      </c>
      <c r="C14" s="237" t="s">
        <v>78</v>
      </c>
      <c r="D14" s="237" t="s">
        <v>79</v>
      </c>
      <c r="E14" s="37" t="s">
        <v>80</v>
      </c>
      <c r="F14" s="66" t="s">
        <v>81</v>
      </c>
      <c r="G14" s="268">
        <v>1</v>
      </c>
      <c r="H14" s="211"/>
      <c r="I14" s="39"/>
      <c r="J14" s="39"/>
      <c r="K14" s="39"/>
      <c r="L14" s="114"/>
      <c r="M14" s="278"/>
      <c r="N14" s="278"/>
      <c r="O14" s="278"/>
      <c r="P14" s="278"/>
      <c r="Q14" s="211"/>
    </row>
    <row r="15" spans="1:32" s="36" customFormat="1" ht="12" x14ac:dyDescent="0.2">
      <c r="A15" s="33" t="s">
        <v>82</v>
      </c>
      <c r="B15" s="238">
        <v>1</v>
      </c>
      <c r="C15" s="238">
        <v>2</v>
      </c>
      <c r="D15" s="238">
        <v>3</v>
      </c>
      <c r="E15" s="38">
        <v>4</v>
      </c>
      <c r="F15" s="66">
        <v>28</v>
      </c>
      <c r="G15" s="268">
        <f>G14+1</f>
        <v>2</v>
      </c>
      <c r="H15" s="211"/>
      <c r="I15" s="365"/>
      <c r="J15" s="365"/>
      <c r="K15" s="365"/>
      <c r="L15" s="114"/>
      <c r="M15" s="278"/>
      <c r="N15" s="278"/>
      <c r="O15" s="278"/>
      <c r="P15" s="278"/>
      <c r="Q15" s="211"/>
    </row>
    <row r="16" spans="1:32" s="36" customFormat="1" ht="12" x14ac:dyDescent="0.2">
      <c r="A16" s="33" t="s">
        <v>83</v>
      </c>
      <c r="B16" s="237" t="s">
        <v>84</v>
      </c>
      <c r="C16" s="237" t="s">
        <v>84</v>
      </c>
      <c r="D16" s="316" t="s">
        <v>72</v>
      </c>
      <c r="E16" s="132" t="s">
        <v>73</v>
      </c>
      <c r="F16" s="228" t="s">
        <v>85</v>
      </c>
      <c r="G16" s="268">
        <f t="shared" ref="G16:G59" si="0">G15+1</f>
        <v>3</v>
      </c>
      <c r="H16" s="211"/>
      <c r="L16" s="279"/>
      <c r="M16" s="655"/>
      <c r="N16" s="280"/>
      <c r="O16" s="114"/>
      <c r="P16" s="114"/>
      <c r="Q16" s="211"/>
    </row>
    <row r="17" spans="1:22" s="36" customFormat="1" x14ac:dyDescent="0.2">
      <c r="A17" s="231" t="s">
        <v>86</v>
      </c>
      <c r="B17" s="232"/>
      <c r="C17" s="317"/>
      <c r="D17" s="318"/>
      <c r="E17" s="307"/>
      <c r="F17" s="134"/>
      <c r="G17" s="268">
        <f t="shared" si="0"/>
        <v>4</v>
      </c>
      <c r="H17" s="116"/>
      <c r="L17" s="279"/>
      <c r="M17" s="667" t="s">
        <v>87</v>
      </c>
      <c r="N17" s="667"/>
      <c r="O17" s="667"/>
      <c r="P17" s="667"/>
      <c r="Q17" s="211"/>
    </row>
    <row r="18" spans="1:22" s="36" customFormat="1" ht="12" x14ac:dyDescent="0.2">
      <c r="A18" s="76" t="s">
        <v>88</v>
      </c>
      <c r="B18" s="152">
        <v>0</v>
      </c>
      <c r="C18" s="152">
        <v>5</v>
      </c>
      <c r="D18" s="133">
        <f>IF(D87&lt;80,D88,MIN(D87,80))</f>
        <v>80</v>
      </c>
      <c r="E18" s="133">
        <f>IF(E87&lt;80,E88,MIN(E87,80))</f>
        <v>80</v>
      </c>
      <c r="F18" s="133">
        <f>IF(F87&lt;80,F88,MIN(F87,80))</f>
        <v>22</v>
      </c>
      <c r="G18" s="268">
        <f t="shared" si="0"/>
        <v>5</v>
      </c>
      <c r="H18" s="211"/>
      <c r="L18" s="279"/>
      <c r="M18" s="281"/>
      <c r="N18" s="281"/>
      <c r="O18" s="282"/>
      <c r="P18" s="282"/>
      <c r="Q18" s="211"/>
      <c r="S18" s="117"/>
      <c r="T18" s="117"/>
      <c r="U18" s="117"/>
      <c r="V18" s="117"/>
    </row>
    <row r="19" spans="1:22" s="36" customFormat="1" ht="12" x14ac:dyDescent="0.2">
      <c r="A19" s="77" t="s">
        <v>89</v>
      </c>
      <c r="B19" s="153">
        <v>0.5</v>
      </c>
      <c r="C19" s="153">
        <v>0.6</v>
      </c>
      <c r="D19" s="153">
        <v>0.7</v>
      </c>
      <c r="E19" s="28">
        <v>0.8</v>
      </c>
      <c r="F19" s="67">
        <f>I9</f>
        <v>0.4</v>
      </c>
      <c r="G19" s="268">
        <f t="shared" si="0"/>
        <v>6</v>
      </c>
      <c r="H19" s="81"/>
      <c r="L19" s="279"/>
      <c r="M19" s="283" t="s">
        <v>90</v>
      </c>
      <c r="N19" s="283"/>
      <c r="O19" s="284"/>
      <c r="P19" s="284"/>
      <c r="Q19" s="211"/>
    </row>
    <row r="20" spans="1:22" s="36" customFormat="1" x14ac:dyDescent="0.2">
      <c r="A20" s="125" t="s">
        <v>91</v>
      </c>
      <c r="B20" s="232"/>
      <c r="C20" s="317"/>
      <c r="D20" s="318"/>
      <c r="E20" s="307"/>
      <c r="F20" s="134"/>
      <c r="G20" s="268">
        <f t="shared" si="0"/>
        <v>7</v>
      </c>
      <c r="H20" s="81"/>
      <c r="L20" s="279"/>
      <c r="M20" s="114"/>
      <c r="N20" s="656" t="s">
        <v>80</v>
      </c>
      <c r="O20" s="285" t="s">
        <v>92</v>
      </c>
      <c r="P20" s="114"/>
      <c r="Q20" s="211"/>
    </row>
    <row r="21" spans="1:22" s="36" customFormat="1" ht="12" x14ac:dyDescent="0.2">
      <c r="A21" s="78" t="s">
        <v>93</v>
      </c>
      <c r="B21" s="155">
        <f>B19*$B$8</f>
        <v>24.8</v>
      </c>
      <c r="C21" s="155">
        <f>C19*$B$8</f>
        <v>29.759999999999998</v>
      </c>
      <c r="D21" s="155">
        <f>D19*$B$8</f>
        <v>34.72</v>
      </c>
      <c r="E21" s="128">
        <f>E19*$B$8</f>
        <v>39.680000000000007</v>
      </c>
      <c r="F21" s="128">
        <f>F19*$B$8</f>
        <v>19.840000000000003</v>
      </c>
      <c r="G21" s="268">
        <f t="shared" si="0"/>
        <v>8</v>
      </c>
      <c r="H21" s="210"/>
      <c r="L21" s="279"/>
      <c r="M21" s="114"/>
      <c r="N21" s="114"/>
      <c r="O21" s="114"/>
      <c r="P21" s="114"/>
      <c r="Q21" s="211"/>
    </row>
    <row r="22" spans="1:22" s="36" customFormat="1" ht="12" x14ac:dyDescent="0.2">
      <c r="A22" s="78" t="s">
        <v>94</v>
      </c>
      <c r="B22" s="154">
        <f>B21*$B$5</f>
        <v>49.6</v>
      </c>
      <c r="C22" s="154">
        <f>C21*$B$5</f>
        <v>59.519999999999996</v>
      </c>
      <c r="D22" s="154">
        <f>D21*$B$5</f>
        <v>69.44</v>
      </c>
      <c r="E22" s="260">
        <f>E21*$B$5</f>
        <v>79.360000000000014</v>
      </c>
      <c r="F22" s="260">
        <f>F21*$B$5</f>
        <v>39.680000000000007</v>
      </c>
      <c r="G22" s="268">
        <f t="shared" si="0"/>
        <v>9</v>
      </c>
      <c r="H22" s="210"/>
      <c r="L22" s="279"/>
      <c r="M22" s="286" t="s">
        <v>95</v>
      </c>
      <c r="N22" s="287">
        <f>HLOOKUP($N$20,$B$14:$G$59,G36,FALSE)</f>
        <v>3.2</v>
      </c>
      <c r="O22" s="288"/>
      <c r="P22" s="114"/>
      <c r="Q22" s="211"/>
    </row>
    <row r="23" spans="1:22" s="36" customFormat="1" ht="12" x14ac:dyDescent="0.2">
      <c r="A23" s="78" t="s">
        <v>96</v>
      </c>
      <c r="B23" s="380">
        <f>$B$9</f>
        <v>4</v>
      </c>
      <c r="C23" s="380">
        <f>$B$9</f>
        <v>4</v>
      </c>
      <c r="D23" s="380">
        <f>$B$9</f>
        <v>4</v>
      </c>
      <c r="E23" s="380">
        <f>$B$9</f>
        <v>4</v>
      </c>
      <c r="F23" s="381">
        <f>$B$9</f>
        <v>4</v>
      </c>
      <c r="G23" s="268">
        <f t="shared" si="0"/>
        <v>10</v>
      </c>
      <c r="H23" s="210"/>
      <c r="L23" s="279"/>
      <c r="M23" s="114"/>
      <c r="N23" s="114"/>
      <c r="O23" s="283"/>
      <c r="P23" s="114"/>
      <c r="Q23" s="211"/>
    </row>
    <row r="24" spans="1:22" s="36" customFormat="1" ht="12" x14ac:dyDescent="0.2">
      <c r="A24" s="78" t="s">
        <v>97</v>
      </c>
      <c r="B24" s="130">
        <f>IF(ISBLANK(B114),0,$B$10)</f>
        <v>0</v>
      </c>
      <c r="C24" s="130">
        <f>IF(ISBLANK(C114),0,$B$10)</f>
        <v>0</v>
      </c>
      <c r="D24" s="130">
        <f>IF(ISBLANK(D114),0,$B$10)</f>
        <v>0</v>
      </c>
      <c r="E24" s="130">
        <f>IF(ISBLANK(E114),0,$B$10)</f>
        <v>58.4</v>
      </c>
      <c r="F24" s="130">
        <f>IF(ISBLANK(F114),0,$B$10)</f>
        <v>0</v>
      </c>
      <c r="G24" s="268">
        <f t="shared" si="0"/>
        <v>11</v>
      </c>
      <c r="H24" s="81"/>
      <c r="I24" s="39"/>
      <c r="J24" s="39"/>
      <c r="K24" s="39"/>
      <c r="L24" s="279"/>
      <c r="M24" s="114" t="s">
        <v>98</v>
      </c>
      <c r="N24" s="291"/>
      <c r="O24" s="290"/>
      <c r="P24" s="114"/>
      <c r="Q24" s="211"/>
    </row>
    <row r="25" spans="1:22" s="36" customFormat="1" ht="12" x14ac:dyDescent="0.2">
      <c r="A25" s="78" t="s">
        <v>99</v>
      </c>
      <c r="B25" s="154">
        <f>B21*$B$5+SUM(B23:B24)</f>
        <v>53.6</v>
      </c>
      <c r="C25" s="154">
        <f>C21*$B$5+SUM(C23:C24)</f>
        <v>63.519999999999996</v>
      </c>
      <c r="D25" s="154">
        <f>D21*$B$5+SUM(D23:D24)</f>
        <v>73.44</v>
      </c>
      <c r="E25" s="260">
        <f>E21*$B$5+SUM(E23:E24)</f>
        <v>141.76000000000002</v>
      </c>
      <c r="F25" s="260">
        <f>F21*$B$5+SUM(F23:F24)</f>
        <v>43.680000000000007</v>
      </c>
      <c r="G25" s="268">
        <f t="shared" si="0"/>
        <v>12</v>
      </c>
      <c r="H25" s="81"/>
      <c r="I25" s="40"/>
      <c r="J25" s="40"/>
      <c r="K25" s="41"/>
      <c r="L25" s="279"/>
      <c r="M25" s="114" t="s">
        <v>100</v>
      </c>
      <c r="N25" s="657" t="s">
        <v>101</v>
      </c>
      <c r="O25" s="309" t="s">
        <v>102</v>
      </c>
      <c r="P25" s="657" t="s">
        <v>103</v>
      </c>
      <c r="Q25" s="211"/>
    </row>
    <row r="26" spans="1:22" s="36" customFormat="1" ht="12" x14ac:dyDescent="0.2">
      <c r="A26" s="79" t="s">
        <v>104</v>
      </c>
      <c r="B26" s="385">
        <f>-IF(ISBLANK(B113),0,MIN(B$22*$I$10,B$22-B7*$I$9))</f>
        <v>-3.6208</v>
      </c>
      <c r="C26" s="385">
        <f>-IF(ISBLANK(C113),0,MIN(C$22*$I$10,C$22-C7*$I$9))</f>
        <v>-4.3449599999999995</v>
      </c>
      <c r="D26" s="385">
        <f>-IF(ISBLANK(D113),0,MIN(D$22*$I$10,D$22-B7*$I$9))</f>
        <v>-5.0691199999999998</v>
      </c>
      <c r="E26" s="69">
        <f>-IF(ISBLANK(E113),0,MIN(E$22*$I$10,E$22-$B$7*$I$9))</f>
        <v>0</v>
      </c>
      <c r="F26" s="69">
        <f>-IF(ISBLANK(F113),0,MIN(F$22*$I$10,F$22-$B$7*$I$9))</f>
        <v>0</v>
      </c>
      <c r="G26" s="268">
        <f t="shared" si="0"/>
        <v>13</v>
      </c>
      <c r="H26" s="81"/>
      <c r="I26" s="40"/>
      <c r="J26" s="40"/>
      <c r="K26" s="41"/>
      <c r="L26" s="279"/>
      <c r="M26" s="25"/>
      <c r="N26" s="311">
        <v>1.5</v>
      </c>
      <c r="O26" s="312">
        <v>2.7</v>
      </c>
      <c r="P26" s="310">
        <v>2</v>
      </c>
      <c r="Q26" s="211"/>
    </row>
    <row r="27" spans="1:22" s="36" customFormat="1" ht="12" x14ac:dyDescent="0.2">
      <c r="A27" s="78" t="s">
        <v>105</v>
      </c>
      <c r="B27" s="155">
        <f>SUM(B25:B26)</f>
        <v>49.979199999999999</v>
      </c>
      <c r="C27" s="155">
        <f t="shared" ref="C27" si="1">SUM(C25:C26)</f>
        <v>59.175039999999996</v>
      </c>
      <c r="D27" s="155">
        <f>SUM(D25:D26)</f>
        <v>68.37088</v>
      </c>
      <c r="E27" s="128">
        <f t="shared" ref="E27:F27" si="2">SUM(E25:E26)</f>
        <v>141.76000000000002</v>
      </c>
      <c r="F27" s="128">
        <f t="shared" si="2"/>
        <v>43.680000000000007</v>
      </c>
      <c r="G27" s="268">
        <f t="shared" si="0"/>
        <v>14</v>
      </c>
      <c r="H27" s="210"/>
      <c r="I27" s="40"/>
      <c r="J27" s="40"/>
      <c r="K27" s="41"/>
      <c r="L27" s="279"/>
      <c r="M27" s="313" t="s">
        <v>106</v>
      </c>
      <c r="N27" s="311"/>
      <c r="O27" s="312"/>
      <c r="P27" s="310"/>
      <c r="Q27" s="211"/>
    </row>
    <row r="28" spans="1:22" s="36" customFormat="1" ht="12" x14ac:dyDescent="0.2">
      <c r="A28" s="79" t="s">
        <v>107</v>
      </c>
      <c r="B28" s="128">
        <f>AVERAGE($E$22:$F$22,B22)</f>
        <v>56.213333333333338</v>
      </c>
      <c r="C28" s="128">
        <f>AVERAGE(F22,$B$22:$C$22)</f>
        <v>49.6</v>
      </c>
      <c r="D28" s="128">
        <f>AVERAGE($B$22:$D$22)</f>
        <v>59.52</v>
      </c>
      <c r="E28" s="128">
        <f>AVERAGE($C$22:$E$22)</f>
        <v>69.44</v>
      </c>
      <c r="F28" s="128" t="s">
        <v>108</v>
      </c>
      <c r="G28" s="268">
        <f t="shared" si="0"/>
        <v>15</v>
      </c>
      <c r="H28" s="210"/>
      <c r="I28" s="40"/>
      <c r="J28" s="40"/>
      <c r="K28" s="41"/>
      <c r="L28" s="279"/>
      <c r="M28" s="292"/>
      <c r="N28" s="290"/>
      <c r="O28" s="290"/>
      <c r="P28" s="114"/>
      <c r="Q28" s="211"/>
    </row>
    <row r="29" spans="1:22" s="36" customFormat="1" x14ac:dyDescent="0.2">
      <c r="A29" s="126" t="s">
        <v>109</v>
      </c>
      <c r="B29" s="232"/>
      <c r="C29" s="317"/>
      <c r="D29" s="318"/>
      <c r="E29" s="307"/>
      <c r="F29" s="134"/>
      <c r="G29" s="268">
        <f t="shared" si="0"/>
        <v>16</v>
      </c>
      <c r="H29" s="210"/>
      <c r="I29" s="40"/>
      <c r="J29" s="40"/>
      <c r="K29" s="41"/>
      <c r="M29" s="668" t="s">
        <v>110</v>
      </c>
      <c r="N29" s="668"/>
      <c r="O29" s="668"/>
      <c r="P29" s="668"/>
      <c r="Q29" s="668"/>
    </row>
    <row r="30" spans="1:22" s="36" customFormat="1" ht="12" x14ac:dyDescent="0.2">
      <c r="A30" s="79" t="s">
        <v>111</v>
      </c>
      <c r="B30" s="130">
        <f>IF(ISBLANK(B113),0,$B$11)</f>
        <v>0</v>
      </c>
      <c r="C30" s="130">
        <f>IF(ISBLANK(C113),0,$B$11)</f>
        <v>0</v>
      </c>
      <c r="D30" s="130">
        <f>IF(ISBLANK(D113),0,$B$11)</f>
        <v>0</v>
      </c>
      <c r="E30" s="130">
        <f>IF(ISBLANK(E113),0,$B$11)</f>
        <v>0</v>
      </c>
      <c r="F30" s="130">
        <f>IF(ISBLANK(F113),0,$B$11)</f>
        <v>0</v>
      </c>
      <c r="G30" s="268">
        <f t="shared" si="0"/>
        <v>17</v>
      </c>
      <c r="H30" s="210"/>
      <c r="I30" s="40"/>
      <c r="J30" s="40"/>
      <c r="K30" s="41"/>
      <c r="M30" s="293" t="s">
        <v>112</v>
      </c>
      <c r="N30" s="293" t="s">
        <v>113</v>
      </c>
      <c r="O30" s="294" t="s">
        <v>114</v>
      </c>
      <c r="P30" s="654" t="s">
        <v>115</v>
      </c>
      <c r="Q30" s="654" t="s">
        <v>116</v>
      </c>
    </row>
    <row r="31" spans="1:22" s="36" customFormat="1" x14ac:dyDescent="0.2">
      <c r="A31" s="232" t="s">
        <v>117</v>
      </c>
      <c r="B31" s="232"/>
      <c r="C31" s="317"/>
      <c r="D31" s="318"/>
      <c r="E31" s="307"/>
      <c r="F31" s="131"/>
      <c r="G31" s="268">
        <f t="shared" si="0"/>
        <v>18</v>
      </c>
      <c r="H31" s="210"/>
      <c r="M31" s="306" t="str">
        <f>A49</f>
        <v>Ready Guns Sets</v>
      </c>
      <c r="N31" s="296">
        <v>3</v>
      </c>
      <c r="O31" s="287">
        <f>HLOOKUP($N$20,$B$14:$G$59,G49,FALSE)</f>
        <v>6.4</v>
      </c>
      <c r="P31" s="308">
        <f>IF(Q31&lt;=1,IF(ISERROR(MAX(0,$O31-N31)),0,MAX(0,$O31-N31)),IF(ISERROR(MAX(0,(O31-$N31)/Q31)),0,MAX(0,(O31-$N31)/Q31)))</f>
        <v>1.7000000000000002</v>
      </c>
      <c r="Q31" s="315">
        <f>O31/$N$22</f>
        <v>2</v>
      </c>
    </row>
    <row r="32" spans="1:22" s="36" customFormat="1" ht="12" x14ac:dyDescent="0.2">
      <c r="A32" s="80" t="s">
        <v>118</v>
      </c>
      <c r="B32" s="28">
        <v>0.7</v>
      </c>
      <c r="C32" s="28">
        <v>0.8</v>
      </c>
      <c r="D32" s="28">
        <v>1</v>
      </c>
      <c r="E32" s="28">
        <v>1</v>
      </c>
      <c r="F32" s="28">
        <v>0.7</v>
      </c>
      <c r="G32" s="268">
        <f t="shared" si="0"/>
        <v>19</v>
      </c>
      <c r="H32" s="210"/>
      <c r="M32" s="306" t="str">
        <f>A51</f>
        <v>Ready MK 103 Sets</v>
      </c>
      <c r="N32" s="296">
        <v>2</v>
      </c>
      <c r="O32" s="287">
        <f>HLOOKUP($N$20,$B$14:$G$59,G51,FALSE)</f>
        <v>3.2</v>
      </c>
      <c r="P32" s="308">
        <f t="shared" ref="P32:P36" si="3">IF(Q32&lt;=1,IF(ISERROR(MAX(0,$O32-N32)),0,MAX(0,$O32-N32)),IF(ISERROR(MAX(0,(O32-$N32)/Q32)),0,MAX(0,(O32-$N32)/Q32)))</f>
        <v>1.2000000000000002</v>
      </c>
      <c r="Q32" s="315">
        <f t="shared" ref="Q32:Q36" si="4">O32/$N$22</f>
        <v>1</v>
      </c>
    </row>
    <row r="33" spans="1:35" s="36" customFormat="1" ht="12" x14ac:dyDescent="0.2">
      <c r="A33" s="80" t="s">
        <v>119</v>
      </c>
      <c r="B33" s="156">
        <f>B32*0.8</f>
        <v>0.55999999999999994</v>
      </c>
      <c r="C33" s="156">
        <f t="shared" ref="C33:F33" si="5">C32*0.8</f>
        <v>0.64000000000000012</v>
      </c>
      <c r="D33" s="156">
        <f t="shared" si="5"/>
        <v>0.8</v>
      </c>
      <c r="E33" s="156">
        <f t="shared" si="5"/>
        <v>0.8</v>
      </c>
      <c r="F33" s="156">
        <f t="shared" si="5"/>
        <v>0.55999999999999994</v>
      </c>
      <c r="G33" s="268">
        <f t="shared" si="0"/>
        <v>20</v>
      </c>
      <c r="H33" s="81"/>
      <c r="M33" s="306" t="str">
        <f>A53</f>
        <v>Ready MK 104 Sets</v>
      </c>
      <c r="N33" s="296">
        <v>1</v>
      </c>
      <c r="O33" s="287">
        <f>HLOOKUP($N$20,$B$14:$G$59,G53,FALSE)</f>
        <v>1.6</v>
      </c>
      <c r="P33" s="308">
        <f t="shared" si="3"/>
        <v>0.60000000000000009</v>
      </c>
      <c r="Q33" s="315">
        <f t="shared" si="4"/>
        <v>0.5</v>
      </c>
    </row>
    <row r="34" spans="1:35" s="36" customFormat="1" ht="12" x14ac:dyDescent="0.2">
      <c r="A34" s="80" t="s">
        <v>120</v>
      </c>
      <c r="B34" s="70">
        <f>((B36*$B$145)/$B$2)</f>
        <v>0.26634931585604232</v>
      </c>
      <c r="C34" s="70">
        <f>((C36*$B$145)/$B$2)</f>
        <v>0.30439921812119131</v>
      </c>
      <c r="D34" s="70">
        <f>((D36*$B$145)/$B$2)</f>
        <v>0.38049902265148905</v>
      </c>
      <c r="E34" s="70">
        <f>((E36*$B$145)/$B$2)</f>
        <v>0.38049902265148905</v>
      </c>
      <c r="F34" s="70">
        <f>((F36*$B$145)/$B$2)</f>
        <v>0.29726486144647579</v>
      </c>
      <c r="G34" s="268">
        <f t="shared" si="0"/>
        <v>21</v>
      </c>
      <c r="H34" s="81"/>
      <c r="M34" s="306" t="str">
        <f>A55</f>
        <v>Ready MK 105 Sets</v>
      </c>
      <c r="N34" s="296">
        <v>2</v>
      </c>
      <c r="O34" s="287">
        <f>HLOOKUP($N$20,$B$14:$G$59,G55,FALSE)</f>
        <v>2.25</v>
      </c>
      <c r="P34" s="308">
        <f t="shared" si="3"/>
        <v>0.25</v>
      </c>
      <c r="Q34" s="315">
        <f t="shared" si="4"/>
        <v>0.703125</v>
      </c>
    </row>
    <row r="35" spans="1:35" s="36" customFormat="1" ht="12" x14ac:dyDescent="0.2">
      <c r="A35" s="78" t="s">
        <v>121</v>
      </c>
      <c r="B35" s="458">
        <f>PRODUCT($B$2,B$32)</f>
        <v>2.8</v>
      </c>
      <c r="C35" s="458">
        <f>PRODUCT($B$2,C$32)</f>
        <v>3.2</v>
      </c>
      <c r="D35" s="458">
        <f>PRODUCT($B$2,D$32)</f>
        <v>4</v>
      </c>
      <c r="E35" s="451">
        <f>PRODUCT($B$2,E$32)</f>
        <v>4</v>
      </c>
      <c r="F35" s="451">
        <f>PRODUCT($B$2,F$32)</f>
        <v>2.8</v>
      </c>
      <c r="G35" s="268">
        <f t="shared" si="0"/>
        <v>22</v>
      </c>
      <c r="H35" s="116"/>
      <c r="M35" s="306" t="str">
        <f>A57</f>
        <v>Ready Q24 Sets</v>
      </c>
      <c r="N35" s="296">
        <v>2</v>
      </c>
      <c r="O35" s="287">
        <f>HLOOKUP($N$20,$B$14:$G$59,G57,FALSE)</f>
        <v>3.2</v>
      </c>
      <c r="P35" s="308">
        <f t="shared" si="3"/>
        <v>1.2000000000000002</v>
      </c>
      <c r="Q35" s="315">
        <f t="shared" si="4"/>
        <v>1</v>
      </c>
    </row>
    <row r="36" spans="1:35" s="36" customFormat="1" ht="12" x14ac:dyDescent="0.2">
      <c r="A36" s="78" t="s">
        <v>122</v>
      </c>
      <c r="B36" s="470">
        <f>$B$2*B$33</f>
        <v>2.2399999999999998</v>
      </c>
      <c r="C36" s="470">
        <f>$B$2*C$33</f>
        <v>2.5600000000000005</v>
      </c>
      <c r="D36" s="470">
        <f>$B$2*D$33</f>
        <v>3.2</v>
      </c>
      <c r="E36" s="450">
        <f>$B$2*E$33</f>
        <v>3.2</v>
      </c>
      <c r="F36" s="450">
        <v>2.5</v>
      </c>
      <c r="G36" s="268">
        <f t="shared" si="0"/>
        <v>23</v>
      </c>
      <c r="H36" s="82"/>
      <c r="M36" s="306" t="str">
        <f>A59</f>
        <v>Ready MOP Sets</v>
      </c>
      <c r="N36" s="296">
        <v>1</v>
      </c>
      <c r="O36" s="287">
        <f>HLOOKUP($N$20,$B$14:$G$59,G59,FALSE)</f>
        <v>0.8</v>
      </c>
      <c r="P36" s="308">
        <f t="shared" si="3"/>
        <v>0</v>
      </c>
      <c r="Q36" s="315">
        <f t="shared" si="4"/>
        <v>0.25</v>
      </c>
    </row>
    <row r="37" spans="1:35" s="36" customFormat="1" ht="12" x14ac:dyDescent="0.2">
      <c r="A37" s="527" t="s">
        <v>123</v>
      </c>
      <c r="B37" s="531">
        <f>B34*$B$2</f>
        <v>1.0653972634241693</v>
      </c>
      <c r="C37" s="531">
        <f>C34*$B$2</f>
        <v>1.2175968724847652</v>
      </c>
      <c r="D37" s="531">
        <f>D34*$B$2</f>
        <v>1.5219960906059562</v>
      </c>
      <c r="E37" s="531">
        <f>E34*$B$2</f>
        <v>1.5219960906059562</v>
      </c>
      <c r="F37" s="531">
        <f>F34*$B$2</f>
        <v>1.1890594457859032</v>
      </c>
      <c r="G37" s="268">
        <f t="shared" si="0"/>
        <v>24</v>
      </c>
      <c r="H37" s="82"/>
      <c r="L37" s="295"/>
      <c r="M37" s="295"/>
      <c r="N37" s="280"/>
      <c r="O37" s="280"/>
      <c r="P37" s="114"/>
      <c r="Q37" s="211"/>
    </row>
    <row r="38" spans="1:35" s="25" customFormat="1" x14ac:dyDescent="0.2">
      <c r="A38" s="232" t="s">
        <v>124</v>
      </c>
      <c r="B38" s="232"/>
      <c r="C38" s="317"/>
      <c r="D38" s="318"/>
      <c r="E38" s="307"/>
      <c r="F38" s="131"/>
      <c r="G38" s="268">
        <f t="shared" si="0"/>
        <v>25</v>
      </c>
      <c r="H38" s="82"/>
      <c r="I38" s="36"/>
      <c r="Q38" s="211"/>
      <c r="R38" s="36"/>
      <c r="S38" s="36"/>
      <c r="T38" s="36"/>
      <c r="U38" s="36"/>
      <c r="V38" s="36"/>
      <c r="W38" s="36"/>
      <c r="X38" s="36"/>
      <c r="Y38" s="36"/>
      <c r="Z38" s="36"/>
      <c r="AA38" s="36"/>
      <c r="AB38" s="36"/>
      <c r="AC38" s="36"/>
      <c r="AD38" s="36"/>
      <c r="AE38" s="36"/>
      <c r="AF38" s="36"/>
      <c r="AG38" s="36"/>
      <c r="AH38" s="36"/>
      <c r="AI38" s="36"/>
    </row>
    <row r="39" spans="1:35" s="25" customFormat="1" ht="12" x14ac:dyDescent="0.2">
      <c r="A39" s="446" t="s">
        <v>125</v>
      </c>
      <c r="B39" s="455">
        <f t="shared" ref="B39:F44" si="6">B$36*$B146</f>
        <v>0.41293319535472006</v>
      </c>
      <c r="C39" s="455">
        <f t="shared" si="6"/>
        <v>0.4719236518339659</v>
      </c>
      <c r="D39" s="455">
        <f t="shared" si="6"/>
        <v>0.58990456479245734</v>
      </c>
      <c r="E39" s="455">
        <f t="shared" si="6"/>
        <v>0.58990456479245734</v>
      </c>
      <c r="F39" s="455">
        <f t="shared" si="6"/>
        <v>0.46086294124410726</v>
      </c>
      <c r="G39" s="268">
        <f t="shared" si="0"/>
        <v>26</v>
      </c>
      <c r="H39" s="82"/>
      <c r="I39" s="36"/>
      <c r="Q39" s="211"/>
      <c r="R39" s="36"/>
      <c r="S39" s="36"/>
      <c r="T39" s="36"/>
      <c r="U39" s="36"/>
      <c r="V39" s="36"/>
      <c r="W39" s="36"/>
      <c r="X39" s="36"/>
      <c r="Y39" s="36"/>
      <c r="Z39" s="36"/>
      <c r="AA39" s="36"/>
      <c r="AB39" s="36"/>
      <c r="AC39" s="36"/>
      <c r="AD39" s="36"/>
      <c r="AE39" s="36"/>
      <c r="AF39" s="36"/>
      <c r="AG39" s="36"/>
      <c r="AH39" s="36"/>
      <c r="AI39" s="36"/>
    </row>
    <row r="40" spans="1:35" s="25" customFormat="1" ht="12" x14ac:dyDescent="0.2">
      <c r="A40" s="446" t="s">
        <v>126</v>
      </c>
      <c r="B40" s="455">
        <f t="shared" si="6"/>
        <v>0.38743474761411978</v>
      </c>
      <c r="C40" s="455">
        <f t="shared" si="6"/>
        <v>0.44278256870185134</v>
      </c>
      <c r="D40" s="455">
        <f t="shared" si="6"/>
        <v>0.55347821087731408</v>
      </c>
      <c r="E40" s="455">
        <f t="shared" si="6"/>
        <v>0.55347821087731408</v>
      </c>
      <c r="F40" s="455">
        <f t="shared" si="6"/>
        <v>0.43240485224790159</v>
      </c>
      <c r="G40" s="268">
        <f t="shared" si="0"/>
        <v>27</v>
      </c>
      <c r="H40" s="171"/>
      <c r="Q40" s="211"/>
      <c r="R40" s="36"/>
      <c r="S40" s="36"/>
      <c r="T40" s="36"/>
      <c r="U40" s="36"/>
      <c r="V40" s="36"/>
      <c r="W40" s="36"/>
      <c r="X40" s="36"/>
      <c r="Y40" s="36"/>
      <c r="Z40" s="36"/>
      <c r="AA40" s="36"/>
      <c r="AB40" s="36"/>
      <c r="AC40" s="36"/>
      <c r="AD40" s="36"/>
      <c r="AE40" s="36"/>
      <c r="AF40" s="36"/>
      <c r="AG40" s="36"/>
      <c r="AH40" s="36"/>
      <c r="AI40" s="36"/>
    </row>
    <row r="41" spans="1:35" s="25" customFormat="1" ht="12" x14ac:dyDescent="0.2">
      <c r="A41" s="446" t="s">
        <v>127</v>
      </c>
      <c r="B41" s="455">
        <f t="shared" si="6"/>
        <v>0.46534667126595375</v>
      </c>
      <c r="C41" s="455">
        <f t="shared" si="6"/>
        <v>0.53182476716109017</v>
      </c>
      <c r="D41" s="455">
        <f t="shared" si="6"/>
        <v>0.66478095895136269</v>
      </c>
      <c r="E41" s="455">
        <f t="shared" si="6"/>
        <v>0.66478095895136269</v>
      </c>
      <c r="F41" s="455">
        <f t="shared" si="6"/>
        <v>0.51936012418075206</v>
      </c>
      <c r="G41" s="268">
        <f t="shared" si="0"/>
        <v>28</v>
      </c>
      <c r="H41" s="82"/>
      <c r="Q41" s="211"/>
      <c r="R41" s="36"/>
      <c r="S41" s="36"/>
      <c r="T41" s="36"/>
      <c r="U41" s="36"/>
      <c r="V41" s="36"/>
      <c r="W41" s="36"/>
      <c r="X41" s="36"/>
      <c r="Y41" s="36"/>
      <c r="Z41" s="36"/>
      <c r="AA41" s="36"/>
      <c r="AB41" s="36"/>
      <c r="AC41" s="36"/>
      <c r="AD41" s="36"/>
      <c r="AE41" s="36"/>
      <c r="AF41" s="36"/>
      <c r="AG41" s="36"/>
      <c r="AH41" s="36"/>
      <c r="AI41" s="36"/>
    </row>
    <row r="42" spans="1:35" s="25" customFormat="1" ht="12" x14ac:dyDescent="0.2">
      <c r="A42" s="509" t="s">
        <v>128</v>
      </c>
      <c r="B42" s="455">
        <f t="shared" si="6"/>
        <v>0</v>
      </c>
      <c r="C42" s="455">
        <f t="shared" si="6"/>
        <v>0</v>
      </c>
      <c r="D42" s="455">
        <f t="shared" si="6"/>
        <v>0</v>
      </c>
      <c r="E42" s="455">
        <f t="shared" si="6"/>
        <v>0</v>
      </c>
      <c r="F42" s="455">
        <f t="shared" si="6"/>
        <v>0</v>
      </c>
      <c r="G42" s="268">
        <f t="shared" si="0"/>
        <v>29</v>
      </c>
      <c r="H42" s="82"/>
      <c r="Q42" s="211"/>
      <c r="R42" s="36"/>
      <c r="S42" s="36"/>
      <c r="T42" s="36"/>
      <c r="U42" s="36"/>
      <c r="V42" s="36"/>
      <c r="W42" s="36"/>
      <c r="X42" s="36"/>
      <c r="Y42" s="36"/>
      <c r="Z42" s="36"/>
      <c r="AA42" s="36"/>
      <c r="AB42" s="36"/>
      <c r="AC42" s="36"/>
      <c r="AD42" s="36"/>
      <c r="AE42" s="36"/>
      <c r="AF42" s="36"/>
      <c r="AG42" s="36"/>
      <c r="AH42" s="36"/>
      <c r="AI42" s="36"/>
    </row>
    <row r="43" spans="1:35" s="25" customFormat="1" ht="12" x14ac:dyDescent="0.2">
      <c r="A43" s="446" t="s">
        <v>129</v>
      </c>
      <c r="B43" s="455">
        <f t="shared" si="6"/>
        <v>0</v>
      </c>
      <c r="C43" s="455">
        <f t="shared" si="6"/>
        <v>0</v>
      </c>
      <c r="D43" s="455">
        <f t="shared" si="6"/>
        <v>0</v>
      </c>
      <c r="E43" s="455">
        <f t="shared" si="6"/>
        <v>0</v>
      </c>
      <c r="F43" s="455">
        <f t="shared" si="6"/>
        <v>0</v>
      </c>
      <c r="G43" s="268">
        <f t="shared" si="0"/>
        <v>30</v>
      </c>
      <c r="H43" s="82"/>
      <c r="Q43" s="211"/>
      <c r="R43" s="36"/>
      <c r="S43" s="36"/>
      <c r="T43" s="36"/>
      <c r="U43" s="36"/>
      <c r="V43" s="36"/>
      <c r="W43" s="36"/>
      <c r="X43" s="36"/>
      <c r="Y43" s="36"/>
      <c r="Z43" s="36"/>
      <c r="AA43" s="36"/>
      <c r="AB43" s="36"/>
      <c r="AC43" s="36"/>
      <c r="AD43" s="36"/>
      <c r="AE43" s="36"/>
      <c r="AF43" s="36"/>
      <c r="AG43" s="36"/>
      <c r="AH43" s="36"/>
      <c r="AI43" s="36"/>
    </row>
    <row r="44" spans="1:35" s="25" customFormat="1" ht="12" x14ac:dyDescent="0.2">
      <c r="A44" s="446" t="s">
        <v>130</v>
      </c>
      <c r="B44" s="455">
        <f t="shared" si="6"/>
        <v>0.41364148556973662</v>
      </c>
      <c r="C44" s="455">
        <f t="shared" si="6"/>
        <v>0.47273312636541343</v>
      </c>
      <c r="D44" s="455">
        <f t="shared" si="6"/>
        <v>0.5909164079567667</v>
      </c>
      <c r="E44" s="455">
        <f t="shared" si="6"/>
        <v>0.5909164079567667</v>
      </c>
      <c r="F44" s="455">
        <f t="shared" si="6"/>
        <v>0.46165344371622397</v>
      </c>
      <c r="G44" s="268">
        <f t="shared" si="0"/>
        <v>31</v>
      </c>
      <c r="H44" s="210"/>
      <c r="K44" s="211"/>
      <c r="Q44" s="211"/>
      <c r="R44" s="211"/>
      <c r="S44" s="211"/>
      <c r="T44" s="211"/>
      <c r="U44" s="211"/>
      <c r="V44" s="211"/>
    </row>
    <row r="45" spans="1:35" s="36" customFormat="1" ht="12" x14ac:dyDescent="0.2">
      <c r="A45" s="446" t="s">
        <v>131</v>
      </c>
      <c r="B45" s="455">
        <f>IF(B$13="Deploy",B$36,B$36*$B152)</f>
        <v>0.49084511900655398</v>
      </c>
      <c r="C45" s="455">
        <f>IF(C$13="Deploy",C$36,C$36*$B152)</f>
        <v>0.56096585029320467</v>
      </c>
      <c r="D45" s="455">
        <f>IF(D$13="Deploy",D$36,D$36*$B152)</f>
        <v>0.70120731286650573</v>
      </c>
      <c r="E45" s="455">
        <f>IF(E$13="Deploy",E$36,E$36*$B152)</f>
        <v>3.2</v>
      </c>
      <c r="F45" s="455">
        <f>IF(F$13="Deploy",F$36,F$36*$B152)</f>
        <v>0.54781821317695756</v>
      </c>
      <c r="G45" s="268">
        <f t="shared" si="0"/>
        <v>32</v>
      </c>
      <c r="H45" s="211"/>
      <c r="I45" s="25"/>
      <c r="Q45" s="211"/>
    </row>
    <row r="46" spans="1:35" s="36" customFormat="1" x14ac:dyDescent="0.2">
      <c r="A46" s="510" t="s">
        <v>132</v>
      </c>
      <c r="B46" s="455">
        <f>B$36*$B153</f>
        <v>2.2399999999999998</v>
      </c>
      <c r="C46" s="455">
        <f>C$36*$B153</f>
        <v>2.5600000000000005</v>
      </c>
      <c r="D46" s="455">
        <f>D$36*$B153</f>
        <v>3.2</v>
      </c>
      <c r="E46" s="455">
        <f>E$36*$B153</f>
        <v>3.2</v>
      </c>
      <c r="F46" s="455">
        <f>F$36*$B153</f>
        <v>2.5</v>
      </c>
      <c r="G46" s="268">
        <f t="shared" si="0"/>
        <v>33</v>
      </c>
      <c r="H46" s="211"/>
      <c r="I46" s="211"/>
      <c r="Q46" s="211"/>
    </row>
    <row r="47" spans="1:35" s="36" customFormat="1" x14ac:dyDescent="0.2">
      <c r="A47" s="245" t="s">
        <v>133</v>
      </c>
      <c r="B47" s="459"/>
      <c r="C47" s="460"/>
      <c r="D47" s="461"/>
      <c r="E47" s="462"/>
      <c r="F47" s="463"/>
      <c r="G47" s="268">
        <f t="shared" si="0"/>
        <v>34</v>
      </c>
      <c r="H47" s="211"/>
      <c r="L47" s="299"/>
      <c r="M47" s="298"/>
      <c r="N47" s="299"/>
      <c r="O47" s="299"/>
      <c r="P47" s="81"/>
      <c r="Q47" s="211"/>
    </row>
    <row r="48" spans="1:35" s="36" customFormat="1" ht="12" x14ac:dyDescent="0.2">
      <c r="A48" s="147" t="s">
        <v>134</v>
      </c>
      <c r="B48" s="456">
        <f t="shared" ref="B48:C48" si="7">B$35*2</f>
        <v>5.6</v>
      </c>
      <c r="C48" s="456">
        <f t="shared" si="7"/>
        <v>6.4</v>
      </c>
      <c r="D48" s="456">
        <f>D$35*2</f>
        <v>8</v>
      </c>
      <c r="E48" s="456">
        <f>E35*2</f>
        <v>8</v>
      </c>
      <c r="F48" s="456">
        <f>F$35*2</f>
        <v>5.6</v>
      </c>
      <c r="G48" s="268">
        <f t="shared" si="0"/>
        <v>35</v>
      </c>
      <c r="H48" s="211"/>
      <c r="L48" s="299"/>
      <c r="M48" s="299"/>
      <c r="N48" s="299"/>
      <c r="O48" s="299"/>
      <c r="P48" s="299"/>
      <c r="Q48" s="211"/>
    </row>
    <row r="49" spans="1:35" s="36" customFormat="1" ht="12" x14ac:dyDescent="0.2">
      <c r="A49" s="42" t="s">
        <v>135</v>
      </c>
      <c r="B49" s="464">
        <f t="shared" ref="B49:C49" si="8">B48*B$33</f>
        <v>3.1359999999999997</v>
      </c>
      <c r="C49" s="464">
        <f t="shared" si="8"/>
        <v>4.096000000000001</v>
      </c>
      <c r="D49" s="464">
        <f>D48*D$33</f>
        <v>6.4</v>
      </c>
      <c r="E49" s="464">
        <f>E48*E33</f>
        <v>6.4</v>
      </c>
      <c r="F49" s="451">
        <f>F$33*F48</f>
        <v>3.1359999999999997</v>
      </c>
      <c r="G49" s="268">
        <f t="shared" si="0"/>
        <v>36</v>
      </c>
      <c r="H49" s="211"/>
      <c r="L49" s="299"/>
      <c r="M49" s="669"/>
      <c r="N49" s="669"/>
      <c r="O49" s="655"/>
      <c r="P49" s="299"/>
      <c r="Q49" s="211"/>
    </row>
    <row r="50" spans="1:35" s="36" customFormat="1" ht="12" x14ac:dyDescent="0.2">
      <c r="A50" s="147" t="s">
        <v>136</v>
      </c>
      <c r="B50" s="456">
        <f t="shared" ref="B50:C50" si="9">B$35*1</f>
        <v>2.8</v>
      </c>
      <c r="C50" s="456">
        <f t="shared" si="9"/>
        <v>3.2</v>
      </c>
      <c r="D50" s="456">
        <f>D$35*1</f>
        <v>4</v>
      </c>
      <c r="E50" s="456">
        <f>E35*1</f>
        <v>4</v>
      </c>
      <c r="F50" s="457">
        <f>F$35*1</f>
        <v>2.8</v>
      </c>
      <c r="G50" s="268">
        <f t="shared" si="0"/>
        <v>37</v>
      </c>
      <c r="H50" s="211"/>
      <c r="J50" s="35"/>
      <c r="L50" s="299"/>
      <c r="M50" s="295"/>
      <c r="N50" s="280"/>
      <c r="O50" s="280"/>
      <c r="P50" s="299"/>
      <c r="Q50" s="211"/>
    </row>
    <row r="51" spans="1:35" s="36" customFormat="1" ht="12" x14ac:dyDescent="0.2">
      <c r="A51" s="42" t="s">
        <v>137</v>
      </c>
      <c r="B51" s="451">
        <f t="shared" ref="B51:C51" si="10">B50*B$33</f>
        <v>1.5679999999999998</v>
      </c>
      <c r="C51" s="451">
        <f t="shared" si="10"/>
        <v>2.0480000000000005</v>
      </c>
      <c r="D51" s="451">
        <f>D50*D$33</f>
        <v>3.2</v>
      </c>
      <c r="E51" s="458">
        <f>E50*E33</f>
        <v>3.2</v>
      </c>
      <c r="F51" s="458">
        <f>F$33*F50</f>
        <v>1.5679999999999998</v>
      </c>
      <c r="G51" s="268">
        <f t="shared" si="0"/>
        <v>38</v>
      </c>
      <c r="H51" s="211"/>
      <c r="J51" s="302"/>
      <c r="K51" s="211"/>
      <c r="L51" s="299"/>
      <c r="M51" s="300"/>
      <c r="N51" s="280"/>
      <c r="O51" s="280"/>
      <c r="P51" s="299"/>
      <c r="Q51" s="211"/>
    </row>
    <row r="52" spans="1:35" s="36" customFormat="1" ht="12" x14ac:dyDescent="0.2">
      <c r="A52" s="147" t="s">
        <v>138</v>
      </c>
      <c r="B52" s="457">
        <v>0</v>
      </c>
      <c r="C52" s="457">
        <v>1</v>
      </c>
      <c r="D52" s="457">
        <v>2</v>
      </c>
      <c r="E52" s="457">
        <f>E35*0.5</f>
        <v>2</v>
      </c>
      <c r="F52" s="457">
        <f>F$35*0.5</f>
        <v>1.4</v>
      </c>
      <c r="G52" s="268">
        <f t="shared" si="0"/>
        <v>39</v>
      </c>
      <c r="H52" s="25"/>
      <c r="I52" s="35"/>
      <c r="J52" s="303"/>
      <c r="K52" s="43"/>
      <c r="L52" s="295"/>
      <c r="M52" s="295"/>
      <c r="N52" s="280"/>
      <c r="O52" s="280"/>
      <c r="P52" s="299"/>
      <c r="Q52" s="211"/>
    </row>
    <row r="53" spans="1:35" s="36" customFormat="1" ht="12" x14ac:dyDescent="0.2">
      <c r="A53" s="42" t="s">
        <v>139</v>
      </c>
      <c r="B53" s="451">
        <f t="shared" ref="B53:C53" si="11">B52*B$33</f>
        <v>0</v>
      </c>
      <c r="C53" s="451">
        <f t="shared" si="11"/>
        <v>0.64000000000000012</v>
      </c>
      <c r="D53" s="451">
        <f>D52*D$33</f>
        <v>1.6</v>
      </c>
      <c r="E53" s="458">
        <f>E52*E33</f>
        <v>1.6</v>
      </c>
      <c r="F53" s="458">
        <f>F$33*F52</f>
        <v>0.78399999999999992</v>
      </c>
      <c r="G53" s="268">
        <f t="shared" si="0"/>
        <v>40</v>
      </c>
      <c r="H53" s="25"/>
      <c r="I53" s="302"/>
      <c r="J53" s="302"/>
      <c r="K53" s="211"/>
      <c r="L53" s="295"/>
      <c r="M53" s="300"/>
      <c r="N53" s="280"/>
      <c r="O53" s="280"/>
      <c r="P53" s="299"/>
      <c r="Q53" s="211"/>
    </row>
    <row r="54" spans="1:35" s="36" customFormat="1" ht="12" x14ac:dyDescent="0.2">
      <c r="A54" s="147" t="s">
        <v>140</v>
      </c>
      <c r="B54" s="457">
        <v>0</v>
      </c>
      <c r="C54" s="457">
        <v>0</v>
      </c>
      <c r="D54" s="457">
        <v>1</v>
      </c>
      <c r="E54" s="457">
        <v>3</v>
      </c>
      <c r="F54" s="457">
        <v>1.8</v>
      </c>
      <c r="G54" s="268">
        <f t="shared" si="0"/>
        <v>41</v>
      </c>
      <c r="H54" s="25"/>
      <c r="I54" s="303"/>
      <c r="J54" s="303"/>
      <c r="K54" s="43"/>
      <c r="L54" s="295"/>
      <c r="M54" s="295"/>
      <c r="N54" s="280"/>
      <c r="O54" s="280"/>
      <c r="P54" s="299"/>
      <c r="Q54" s="211"/>
    </row>
    <row r="55" spans="1:35" s="36" customFormat="1" ht="12" x14ac:dyDescent="0.2">
      <c r="A55" s="42" t="s">
        <v>141</v>
      </c>
      <c r="B55" s="451">
        <f t="shared" ref="B55:C55" si="12">B54*B$33</f>
        <v>0</v>
      </c>
      <c r="C55" s="451">
        <f t="shared" si="12"/>
        <v>0</v>
      </c>
      <c r="D55" s="451">
        <f>D54*D$33</f>
        <v>0.8</v>
      </c>
      <c r="E55" s="458">
        <f>E54*0.75</f>
        <v>2.25</v>
      </c>
      <c r="F55" s="458">
        <f>F54*0.75</f>
        <v>1.35</v>
      </c>
      <c r="G55" s="268">
        <f t="shared" si="0"/>
        <v>42</v>
      </c>
      <c r="H55" s="25"/>
      <c r="I55" s="302"/>
      <c r="J55" s="302"/>
      <c r="K55" s="211"/>
      <c r="L55" s="295"/>
      <c r="M55" s="300"/>
      <c r="N55" s="280"/>
      <c r="O55" s="280"/>
      <c r="P55" s="299"/>
      <c r="Q55" s="211"/>
    </row>
    <row r="56" spans="1:35" s="36" customFormat="1" ht="12" x14ac:dyDescent="0.2">
      <c r="A56" s="147" t="s">
        <v>142</v>
      </c>
      <c r="B56" s="457">
        <v>0</v>
      </c>
      <c r="C56" s="457">
        <v>0</v>
      </c>
      <c r="D56" s="457">
        <v>1</v>
      </c>
      <c r="E56" s="457">
        <f>E35*1</f>
        <v>4</v>
      </c>
      <c r="F56" s="457">
        <f>F35*1</f>
        <v>2.8</v>
      </c>
      <c r="G56" s="268">
        <f t="shared" si="0"/>
        <v>43</v>
      </c>
      <c r="H56" s="25"/>
      <c r="I56" s="303"/>
      <c r="J56" s="303"/>
      <c r="K56" s="43"/>
      <c r="L56" s="295"/>
      <c r="M56" s="295"/>
      <c r="N56" s="280"/>
      <c r="O56" s="280"/>
      <c r="P56" s="299"/>
      <c r="Q56" s="211"/>
    </row>
    <row r="57" spans="1:35" s="36" customFormat="1" ht="12" x14ac:dyDescent="0.2">
      <c r="A57" s="42" t="s">
        <v>143</v>
      </c>
      <c r="B57" s="451">
        <f t="shared" ref="B57:C57" si="13">B56*B$33</f>
        <v>0</v>
      </c>
      <c r="C57" s="451">
        <f t="shared" si="13"/>
        <v>0</v>
      </c>
      <c r="D57" s="451">
        <f>D56*D$33</f>
        <v>0.8</v>
      </c>
      <c r="E57" s="458">
        <f>E56*E33</f>
        <v>3.2</v>
      </c>
      <c r="F57" s="458">
        <f>F56*F33</f>
        <v>1.5679999999999998</v>
      </c>
      <c r="G57" s="268">
        <f t="shared" si="0"/>
        <v>44</v>
      </c>
      <c r="H57" s="25"/>
      <c r="I57" s="302"/>
      <c r="J57" s="302"/>
      <c r="K57" s="211"/>
      <c r="L57" s="295"/>
      <c r="M57" s="300"/>
      <c r="N57" s="280"/>
      <c r="O57" s="280"/>
      <c r="P57" s="299"/>
      <c r="Q57" s="211"/>
    </row>
    <row r="58" spans="1:35" s="36" customFormat="1" ht="12" x14ac:dyDescent="0.2">
      <c r="A58" s="147" t="s">
        <v>144</v>
      </c>
      <c r="B58" s="457">
        <v>0</v>
      </c>
      <c r="C58" s="457">
        <v>1</v>
      </c>
      <c r="D58" s="457">
        <v>2</v>
      </c>
      <c r="E58" s="457">
        <f>$E35*0.25</f>
        <v>1</v>
      </c>
      <c r="F58" s="457">
        <f>$E35*0.25</f>
        <v>1</v>
      </c>
      <c r="G58" s="268">
        <f t="shared" si="0"/>
        <v>45</v>
      </c>
      <c r="H58" s="25"/>
      <c r="I58" s="303"/>
      <c r="J58" s="303"/>
      <c r="K58" s="43"/>
      <c r="L58" s="295"/>
      <c r="M58" s="295"/>
      <c r="N58" s="280"/>
      <c r="O58" s="280"/>
      <c r="P58" s="299"/>
      <c r="Q58" s="211"/>
    </row>
    <row r="59" spans="1:35" s="36" customFormat="1" ht="12" x14ac:dyDescent="0.2">
      <c r="A59" s="42" t="s">
        <v>145</v>
      </c>
      <c r="B59" s="451">
        <f t="shared" ref="B59:C59" si="14">B58*B$33</f>
        <v>0</v>
      </c>
      <c r="C59" s="451">
        <f t="shared" si="14"/>
        <v>0.64000000000000012</v>
      </c>
      <c r="D59" s="451">
        <f>D58*D$33</f>
        <v>1.6</v>
      </c>
      <c r="E59" s="458">
        <f>E58*E33</f>
        <v>0.8</v>
      </c>
      <c r="F59" s="458">
        <f>F58*F33</f>
        <v>0.55999999999999994</v>
      </c>
      <c r="G59" s="268">
        <f t="shared" si="0"/>
        <v>46</v>
      </c>
      <c r="H59" s="25"/>
      <c r="I59" s="302"/>
      <c r="J59" s="302"/>
      <c r="K59" s="211"/>
      <c r="L59" s="295"/>
      <c r="M59" s="300"/>
      <c r="N59" s="280"/>
      <c r="O59" s="280"/>
      <c r="P59" s="299"/>
      <c r="Q59" s="211"/>
    </row>
    <row r="60" spans="1:35" s="25" customFormat="1" x14ac:dyDescent="0.2">
      <c r="A60" s="232" t="s">
        <v>146</v>
      </c>
      <c r="B60" s="232"/>
      <c r="C60" s="317"/>
      <c r="D60" s="318"/>
      <c r="E60" s="307"/>
      <c r="F60" s="131"/>
      <c r="G60" s="180"/>
      <c r="I60" s="303"/>
      <c r="J60" s="304"/>
      <c r="K60" s="22"/>
      <c r="L60" s="295"/>
      <c r="M60" s="295"/>
      <c r="N60" s="280"/>
      <c r="O60" s="280"/>
      <c r="P60" s="299"/>
      <c r="Q60" s="211"/>
      <c r="R60" s="36"/>
      <c r="S60" s="36"/>
      <c r="T60" s="36"/>
      <c r="U60" s="36"/>
      <c r="V60" s="36"/>
      <c r="W60" s="36"/>
      <c r="X60" s="36"/>
      <c r="Y60" s="36"/>
      <c r="Z60" s="36"/>
      <c r="AA60" s="36"/>
      <c r="AB60" s="36"/>
      <c r="AC60" s="36"/>
      <c r="AD60" s="36"/>
      <c r="AE60" s="36"/>
      <c r="AF60" s="36"/>
      <c r="AG60" s="36"/>
      <c r="AH60" s="36"/>
      <c r="AI60" s="36"/>
    </row>
    <row r="61" spans="1:35" s="25" customFormat="1" ht="12" x14ac:dyDescent="0.2">
      <c r="A61" s="1" t="str">
        <f>A96</f>
        <v>Pilot Upper Limit</v>
      </c>
      <c r="B61" s="165">
        <f>$B$96</f>
        <v>8</v>
      </c>
      <c r="C61" s="165">
        <f>$B$96</f>
        <v>8</v>
      </c>
      <c r="D61" s="165">
        <f>$B$96</f>
        <v>8</v>
      </c>
      <c r="E61" s="2">
        <f>$B$96</f>
        <v>8</v>
      </c>
      <c r="F61" s="2">
        <f>$B$96</f>
        <v>8</v>
      </c>
      <c r="G61" s="172"/>
      <c r="I61" s="302"/>
      <c r="J61" s="302"/>
      <c r="K61" s="211"/>
      <c r="L61" s="295"/>
      <c r="M61" s="300"/>
      <c r="N61" s="280"/>
      <c r="O61" s="280"/>
      <c r="P61" s="299"/>
      <c r="Q61" s="211"/>
      <c r="R61" s="36"/>
      <c r="S61" s="36"/>
      <c r="T61" s="36"/>
      <c r="U61" s="36"/>
      <c r="V61" s="36"/>
      <c r="W61" s="36"/>
      <c r="X61" s="36"/>
      <c r="Y61" s="36"/>
      <c r="Z61" s="36"/>
      <c r="AA61" s="36"/>
      <c r="AB61" s="36"/>
      <c r="AC61" s="36"/>
      <c r="AD61" s="36"/>
      <c r="AE61" s="36"/>
      <c r="AF61" s="36"/>
      <c r="AG61" s="36"/>
      <c r="AH61" s="36"/>
      <c r="AI61" s="36"/>
    </row>
    <row r="62" spans="1:35" s="25" customFormat="1" ht="12" x14ac:dyDescent="0.2">
      <c r="A62" s="3" t="str">
        <f t="shared" ref="A62:A74" si="15">A97</f>
        <v>Pilot Lower Limit</v>
      </c>
      <c r="B62" s="149">
        <f>ROUNDUP(IF(B$13="DEPLOY",MAX((B$90/100)*$B96,$B96),(B$90/100)*$B96),0)</f>
        <v>1</v>
      </c>
      <c r="C62" s="149">
        <f>ROUNDUP(IF(C$13="DEPLOY",MAX((C$90/100)*$B96,$B96),(C$90/100)*$B96),0)</f>
        <v>2</v>
      </c>
      <c r="D62" s="149">
        <f>ROUNDUP(IF(D$13="DEPLOY",MAX((D$90/100)*$B96,$B96),(D$90/100)*$B96),0)</f>
        <v>7</v>
      </c>
      <c r="E62" s="27">
        <f>ROUNDUP(IF(E$13="Deploy",MAX((E$90/100)*$B96,$B96),(E$90/100)*$B96),0)</f>
        <v>8</v>
      </c>
      <c r="F62" s="27">
        <f>ROUNDUP(IF(F$13="Deploy",MAX((F$90/100)*$B96,$B96),(F$90/100)*$B96),0)</f>
        <v>3</v>
      </c>
      <c r="G62" s="172"/>
      <c r="I62" s="304"/>
      <c r="J62" s="22"/>
      <c r="K62" s="22"/>
      <c r="L62" s="295"/>
      <c r="M62" s="655"/>
      <c r="N62" s="655"/>
      <c r="O62" s="655"/>
      <c r="P62" s="299"/>
      <c r="Q62" s="211"/>
      <c r="R62" s="36"/>
      <c r="S62" s="36"/>
      <c r="T62" s="36"/>
      <c r="U62" s="36"/>
      <c r="V62" s="36"/>
      <c r="W62" s="36"/>
      <c r="X62" s="36"/>
      <c r="Y62" s="36"/>
      <c r="Z62" s="36"/>
      <c r="AA62" s="36"/>
      <c r="AB62" s="36"/>
      <c r="AC62" s="36"/>
      <c r="AD62" s="36"/>
      <c r="AE62" s="36"/>
      <c r="AF62" s="36"/>
      <c r="AG62" s="36"/>
      <c r="AH62" s="36"/>
      <c r="AI62" s="36"/>
    </row>
    <row r="63" spans="1:35" s="25" customFormat="1" ht="12" x14ac:dyDescent="0.2">
      <c r="A63" s="29" t="str">
        <f t="shared" si="15"/>
        <v>Aircrew Upper Limit</v>
      </c>
      <c r="B63" s="166">
        <f>$B$98</f>
        <v>16</v>
      </c>
      <c r="C63" s="166">
        <f>$B$98</f>
        <v>16</v>
      </c>
      <c r="D63" s="166">
        <f>$B$98</f>
        <v>16</v>
      </c>
      <c r="E63" s="4">
        <f>$B$98</f>
        <v>16</v>
      </c>
      <c r="F63" s="4">
        <f>$B$98</f>
        <v>16</v>
      </c>
      <c r="G63" s="172"/>
      <c r="I63" s="302"/>
      <c r="J63" s="21"/>
      <c r="K63" s="21"/>
      <c r="L63" s="299"/>
      <c r="M63" s="280"/>
      <c r="N63" s="280"/>
      <c r="O63" s="280"/>
      <c r="P63" s="299"/>
      <c r="Q63" s="211"/>
      <c r="R63" s="36"/>
      <c r="S63" s="36"/>
      <c r="T63" s="36"/>
      <c r="U63" s="36"/>
      <c r="V63" s="36"/>
      <c r="W63" s="36"/>
      <c r="X63" s="36"/>
      <c r="Y63" s="36"/>
      <c r="Z63" s="36"/>
      <c r="AA63" s="36"/>
      <c r="AB63" s="36"/>
      <c r="AC63" s="36"/>
      <c r="AD63" s="36"/>
      <c r="AE63" s="36"/>
      <c r="AF63" s="36"/>
      <c r="AG63" s="36"/>
      <c r="AH63" s="36"/>
      <c r="AI63" s="36"/>
    </row>
    <row r="64" spans="1:35" s="25" customFormat="1" ht="12" x14ac:dyDescent="0.2">
      <c r="A64" s="3" t="str">
        <f t="shared" si="15"/>
        <v>Aircrew Lower Limit</v>
      </c>
      <c r="B64" s="149">
        <f>ROUNDUP(IF(B$13="DEPLOY",MAX((B$90/100)*$B98,$B98),(B$90/100)*$B98),0)</f>
        <v>1</v>
      </c>
      <c r="C64" s="149">
        <f>ROUNDUP(IF(C$13="DEPLOY",MAX((C$90/100)*$B98,$B98),(C$90/100)*$B98),0)</f>
        <v>4</v>
      </c>
      <c r="D64" s="149">
        <f>ROUNDUP(IF(D$13="DEPLOY",MAX((D$90/100)*$B98,$B98),(D$90/100)*$B98),0)</f>
        <v>13</v>
      </c>
      <c r="E64" s="27">
        <f>ROUNDUP(IF(E$13="Deploy",MAX((E$90/100)*$B98,$B98),(E$90/100)*$B98),0)</f>
        <v>16</v>
      </c>
      <c r="F64" s="27">
        <f>ROUNDUP(IF(F$13="Deploy",MAX((F$90/100)*$B98,$B98),(F$90/100)*$B98),0)</f>
        <v>6</v>
      </c>
      <c r="G64" s="172"/>
      <c r="H64" s="180"/>
      <c r="I64" s="22"/>
      <c r="J64" s="22"/>
      <c r="K64" s="22"/>
      <c r="L64" s="299"/>
      <c r="M64" s="299"/>
      <c r="N64" s="299"/>
      <c r="O64" s="299"/>
      <c r="P64" s="299"/>
      <c r="Q64" s="211"/>
      <c r="R64" s="36"/>
      <c r="S64" s="36"/>
      <c r="T64" s="36"/>
      <c r="U64" s="36"/>
      <c r="V64" s="36"/>
      <c r="W64" s="36"/>
      <c r="X64" s="36"/>
      <c r="Y64" s="36"/>
      <c r="Z64" s="36"/>
      <c r="AA64" s="36"/>
      <c r="AB64" s="36"/>
      <c r="AC64" s="36"/>
      <c r="AD64" s="36"/>
      <c r="AE64" s="36"/>
      <c r="AF64" s="36"/>
      <c r="AG64" s="36"/>
      <c r="AH64" s="36"/>
      <c r="AI64" s="36"/>
    </row>
    <row r="65" spans="1:35" s="25" customFormat="1" ht="12" x14ac:dyDescent="0.2">
      <c r="A65" s="3" t="str">
        <f t="shared" si="15"/>
        <v>&gt;= ACTC LEVEL 3 PILOT - MIW</v>
      </c>
      <c r="B65" s="149">
        <f t="shared" ref="B65:D75" si="16">ROUNDUP(IF(B$13="DEPLOY",MAX((B$90/100)*$B100,$B100),(B$90/100)*$B100),0)</f>
        <v>1</v>
      </c>
      <c r="C65" s="149">
        <f t="shared" si="16"/>
        <v>1</v>
      </c>
      <c r="D65" s="149">
        <f t="shared" si="16"/>
        <v>4</v>
      </c>
      <c r="E65" s="27">
        <f t="shared" ref="E65:F72" si="17">ROUNDUP(IF(E$13="Deploy",MAX((E$90/100)*$B100,$B100),(E$90/100)*$B100),0)</f>
        <v>4</v>
      </c>
      <c r="F65" s="27">
        <f t="shared" si="17"/>
        <v>2</v>
      </c>
      <c r="G65" s="172"/>
      <c r="H65" s="172"/>
      <c r="I65" s="21"/>
      <c r="J65" s="22"/>
      <c r="K65" s="22"/>
      <c r="L65" s="81"/>
      <c r="M65" s="299"/>
      <c r="N65" s="280"/>
      <c r="O65" s="280"/>
      <c r="P65" s="299"/>
      <c r="Q65" s="211"/>
      <c r="R65" s="36"/>
      <c r="S65" s="36"/>
      <c r="T65" s="36"/>
      <c r="U65" s="36"/>
      <c r="V65" s="36"/>
      <c r="W65" s="36"/>
      <c r="X65" s="36"/>
      <c r="Y65" s="36"/>
      <c r="Z65" s="36"/>
      <c r="AA65" s="36"/>
      <c r="AB65" s="36"/>
      <c r="AC65" s="36"/>
      <c r="AD65" s="36"/>
      <c r="AE65" s="36"/>
      <c r="AF65" s="36"/>
      <c r="AG65" s="36"/>
      <c r="AH65" s="36"/>
      <c r="AI65" s="36"/>
    </row>
    <row r="66" spans="1:35" s="25" customFormat="1" ht="12" x14ac:dyDescent="0.2">
      <c r="A66" s="3" t="str">
        <f t="shared" si="15"/>
        <v>&gt;= ACTC LEVEL 3 PILOT - MOB/LOG</v>
      </c>
      <c r="B66" s="271">
        <f t="shared" si="16"/>
        <v>1</v>
      </c>
      <c r="C66" s="271">
        <f t="shared" si="16"/>
        <v>1</v>
      </c>
      <c r="D66" s="271">
        <f t="shared" si="16"/>
        <v>4</v>
      </c>
      <c r="E66" s="27">
        <f t="shared" si="17"/>
        <v>4</v>
      </c>
      <c r="F66" s="27">
        <f t="shared" si="17"/>
        <v>2</v>
      </c>
      <c r="G66" s="172"/>
      <c r="H66" s="172"/>
      <c r="I66" s="22"/>
      <c r="J66" s="22"/>
      <c r="K66" s="22"/>
      <c r="L66" s="299"/>
      <c r="M66" s="299"/>
      <c r="N66" s="299"/>
      <c r="O66" s="299"/>
      <c r="P66" s="299"/>
      <c r="Q66" s="211"/>
      <c r="R66" s="36"/>
      <c r="S66" s="36"/>
      <c r="T66" s="36"/>
      <c r="U66" s="36"/>
      <c r="V66" s="36"/>
      <c r="W66" s="36"/>
      <c r="X66" s="36"/>
      <c r="Y66" s="36"/>
      <c r="Z66" s="36"/>
      <c r="AA66" s="36"/>
      <c r="AB66" s="36"/>
      <c r="AC66" s="36"/>
      <c r="AD66" s="36"/>
      <c r="AE66" s="36"/>
      <c r="AF66" s="36"/>
      <c r="AG66" s="36"/>
      <c r="AH66" s="36"/>
      <c r="AI66" s="36"/>
    </row>
    <row r="67" spans="1:35" s="25" customFormat="1" ht="12" x14ac:dyDescent="0.2">
      <c r="A67" s="3" t="str">
        <f t="shared" si="15"/>
        <v>&gt;= ACTC LEVEL 3 NAC - MIW</v>
      </c>
      <c r="B67" s="149">
        <f t="shared" si="16"/>
        <v>1</v>
      </c>
      <c r="C67" s="149">
        <f t="shared" si="16"/>
        <v>1</v>
      </c>
      <c r="D67" s="149">
        <f t="shared" si="16"/>
        <v>4</v>
      </c>
      <c r="E67" s="27">
        <f t="shared" si="17"/>
        <v>4</v>
      </c>
      <c r="F67" s="27">
        <f t="shared" si="17"/>
        <v>2</v>
      </c>
      <c r="G67" s="172"/>
      <c r="H67" s="172"/>
      <c r="I67" s="22"/>
      <c r="J67" s="22"/>
      <c r="K67" s="22"/>
      <c r="L67" s="295"/>
      <c r="M67" s="300"/>
      <c r="N67" s="280"/>
      <c r="O67" s="280"/>
      <c r="P67" s="299"/>
      <c r="Q67" s="211"/>
      <c r="R67" s="36"/>
      <c r="S67" s="36"/>
      <c r="T67" s="36"/>
      <c r="U67" s="36"/>
      <c r="V67" s="36"/>
      <c r="W67" s="36"/>
      <c r="X67" s="36"/>
      <c r="Y67" s="36"/>
      <c r="Z67" s="36"/>
      <c r="AA67" s="36"/>
      <c r="AB67" s="36"/>
      <c r="AC67" s="36"/>
      <c r="AD67" s="36"/>
      <c r="AE67" s="36"/>
      <c r="AF67" s="36"/>
      <c r="AG67" s="36"/>
      <c r="AH67" s="36"/>
      <c r="AI67" s="36"/>
    </row>
    <row r="68" spans="1:35" s="25" customFormat="1" ht="12" x14ac:dyDescent="0.2">
      <c r="A68" s="3" t="str">
        <f t="shared" si="15"/>
        <v>&gt;= ACTC LEVEL 3 NAC - MOB/LOG</v>
      </c>
      <c r="B68" s="149">
        <f t="shared" si="16"/>
        <v>1</v>
      </c>
      <c r="C68" s="149">
        <f t="shared" si="16"/>
        <v>1</v>
      </c>
      <c r="D68" s="149">
        <f t="shared" si="16"/>
        <v>4</v>
      </c>
      <c r="E68" s="27">
        <f t="shared" si="17"/>
        <v>4</v>
      </c>
      <c r="F68" s="27">
        <f t="shared" si="17"/>
        <v>2</v>
      </c>
      <c r="G68" s="172"/>
      <c r="H68" s="172"/>
      <c r="I68" s="22"/>
      <c r="J68" s="22"/>
      <c r="K68" s="22"/>
      <c r="L68" s="299"/>
      <c r="M68" s="300"/>
      <c r="N68" s="280"/>
      <c r="O68" s="280"/>
      <c r="P68" s="299"/>
      <c r="Q68" s="211"/>
      <c r="R68" s="36"/>
      <c r="S68" s="36"/>
      <c r="T68" s="36"/>
      <c r="U68" s="36"/>
      <c r="V68" s="36"/>
      <c r="W68" s="36"/>
      <c r="X68" s="36"/>
      <c r="Y68" s="36"/>
      <c r="Z68" s="36"/>
      <c r="AA68" s="36"/>
      <c r="AB68" s="36"/>
      <c r="AC68" s="36"/>
      <c r="AD68" s="36"/>
      <c r="AE68" s="36"/>
      <c r="AF68" s="36"/>
      <c r="AG68" s="36"/>
      <c r="AH68" s="36"/>
      <c r="AI68" s="36"/>
    </row>
    <row r="69" spans="1:35" s="25" customFormat="1" x14ac:dyDescent="0.2">
      <c r="A69" s="3" t="str">
        <f t="shared" si="15"/>
        <v>&gt;= ACTC LEVEL 2 PILOT</v>
      </c>
      <c r="B69" s="149">
        <f t="shared" si="16"/>
        <v>1</v>
      </c>
      <c r="C69" s="149">
        <f t="shared" si="16"/>
        <v>1</v>
      </c>
      <c r="D69" s="149">
        <f t="shared" si="16"/>
        <v>4</v>
      </c>
      <c r="E69" s="27">
        <f t="shared" si="17"/>
        <v>4</v>
      </c>
      <c r="F69" s="27">
        <f t="shared" si="17"/>
        <v>2</v>
      </c>
      <c r="G69" s="172"/>
      <c r="H69" s="172"/>
      <c r="I69" s="22"/>
      <c r="J69" s="22"/>
      <c r="K69" s="22"/>
      <c r="L69" s="299"/>
      <c r="M69" s="299"/>
      <c r="N69" s="280"/>
      <c r="O69" s="114"/>
      <c r="P69" s="105"/>
      <c r="Q69" s="211"/>
      <c r="R69" s="36"/>
      <c r="S69" s="36"/>
      <c r="T69" s="36"/>
      <c r="U69" s="36"/>
      <c r="V69" s="36"/>
      <c r="W69" s="36"/>
      <c r="X69" s="36"/>
      <c r="Y69" s="36"/>
      <c r="Z69" s="36"/>
      <c r="AA69" s="36"/>
      <c r="AB69" s="36"/>
      <c r="AC69" s="36"/>
      <c r="AD69" s="36"/>
      <c r="AE69" s="36"/>
      <c r="AF69" s="36"/>
      <c r="AG69" s="36"/>
      <c r="AH69" s="36"/>
      <c r="AI69" s="36"/>
    </row>
    <row r="70" spans="1:35" s="25" customFormat="1" x14ac:dyDescent="0.2">
      <c r="A70" s="3" t="str">
        <f t="shared" si="15"/>
        <v>&gt;= ACTC LEVEL 2 NAC</v>
      </c>
      <c r="B70" s="149">
        <f t="shared" si="16"/>
        <v>1</v>
      </c>
      <c r="C70" s="149">
        <f t="shared" si="16"/>
        <v>1</v>
      </c>
      <c r="D70" s="149">
        <f t="shared" si="16"/>
        <v>4</v>
      </c>
      <c r="E70" s="27">
        <f t="shared" si="17"/>
        <v>4</v>
      </c>
      <c r="F70" s="27">
        <f t="shared" si="17"/>
        <v>2</v>
      </c>
      <c r="G70" s="172"/>
      <c r="H70" s="172"/>
      <c r="I70" s="22"/>
      <c r="J70" s="22"/>
      <c r="K70" s="22"/>
      <c r="L70" s="295"/>
      <c r="M70" s="81"/>
      <c r="N70" s="81"/>
      <c r="O70" s="256"/>
      <c r="P70" s="105"/>
      <c r="Q70" s="211"/>
      <c r="R70" s="36"/>
      <c r="S70" s="36"/>
      <c r="T70" s="36"/>
      <c r="U70" s="36"/>
      <c r="V70" s="36"/>
      <c r="W70" s="36"/>
      <c r="X70" s="36"/>
      <c r="Y70" s="36"/>
      <c r="Z70" s="36"/>
      <c r="AA70" s="36"/>
      <c r="AB70" s="36"/>
      <c r="AC70" s="36"/>
      <c r="AD70" s="36"/>
      <c r="AE70" s="36"/>
      <c r="AF70" s="36"/>
      <c r="AG70" s="36"/>
      <c r="AH70" s="36"/>
      <c r="AI70" s="36"/>
    </row>
    <row r="71" spans="1:35" s="25" customFormat="1" x14ac:dyDescent="0.2">
      <c r="A71" s="3" t="str">
        <f t="shared" si="15"/>
        <v>&gt;= ACTC LEVEL 1 PILOT</v>
      </c>
      <c r="B71" s="149">
        <f t="shared" si="16"/>
        <v>1</v>
      </c>
      <c r="C71" s="149">
        <f t="shared" si="16"/>
        <v>2</v>
      </c>
      <c r="D71" s="149">
        <f t="shared" si="16"/>
        <v>7</v>
      </c>
      <c r="E71" s="27">
        <f t="shared" si="17"/>
        <v>8</v>
      </c>
      <c r="F71" s="27">
        <f t="shared" si="17"/>
        <v>3</v>
      </c>
      <c r="G71" s="172"/>
      <c r="H71" s="172"/>
      <c r="I71" s="22"/>
      <c r="J71" s="22"/>
      <c r="K71" s="22"/>
      <c r="L71" s="295"/>
      <c r="M71" s="81"/>
      <c r="N71" s="81"/>
      <c r="O71" s="83"/>
      <c r="P71" s="105"/>
      <c r="Q71" s="211"/>
      <c r="R71" s="36"/>
      <c r="S71" s="36"/>
      <c r="T71" s="36"/>
      <c r="U71" s="36"/>
      <c r="V71" s="36"/>
      <c r="W71" s="36"/>
      <c r="X71" s="36"/>
      <c r="Y71" s="36"/>
      <c r="Z71" s="36"/>
      <c r="AA71" s="36"/>
      <c r="AB71" s="36"/>
      <c r="AC71" s="36"/>
      <c r="AD71" s="36"/>
      <c r="AE71" s="36"/>
      <c r="AF71" s="36"/>
      <c r="AG71" s="36"/>
      <c r="AH71" s="36"/>
      <c r="AI71" s="36"/>
    </row>
    <row r="72" spans="1:35" s="25" customFormat="1" x14ac:dyDescent="0.2">
      <c r="A72" s="3" t="str">
        <f t="shared" si="15"/>
        <v>&gt;= ACTC LEVEL 1 NAC</v>
      </c>
      <c r="B72" s="149">
        <f t="shared" si="16"/>
        <v>1</v>
      </c>
      <c r="C72" s="149">
        <f t="shared" si="16"/>
        <v>4</v>
      </c>
      <c r="D72" s="149">
        <f t="shared" si="16"/>
        <v>13</v>
      </c>
      <c r="E72" s="27">
        <f t="shared" si="17"/>
        <v>16</v>
      </c>
      <c r="F72" s="27">
        <f t="shared" si="17"/>
        <v>6</v>
      </c>
      <c r="G72" s="172"/>
      <c r="H72" s="172"/>
      <c r="I72" s="22"/>
      <c r="J72" s="22"/>
      <c r="K72" s="22"/>
      <c r="L72" s="81"/>
      <c r="M72" s="83"/>
      <c r="N72" s="83"/>
      <c r="O72" s="83"/>
      <c r="P72" s="105"/>
      <c r="Q72" s="211"/>
      <c r="R72" s="36"/>
      <c r="S72" s="36"/>
      <c r="T72" s="36"/>
      <c r="U72" s="36"/>
      <c r="V72" s="36"/>
      <c r="W72" s="36"/>
      <c r="X72" s="36"/>
      <c r="Y72" s="36"/>
      <c r="Z72" s="36"/>
      <c r="AA72" s="36"/>
      <c r="AB72" s="36"/>
      <c r="AC72" s="36"/>
      <c r="AD72" s="36"/>
      <c r="AE72" s="36"/>
      <c r="AF72" s="36"/>
      <c r="AG72" s="36"/>
      <c r="AH72" s="36"/>
      <c r="AI72" s="36"/>
    </row>
    <row r="73" spans="1:35" s="25" customFormat="1" ht="12" x14ac:dyDescent="0.2">
      <c r="A73" s="3" t="str">
        <f t="shared" si="15"/>
        <v>Q24 Controller Qualified Crewmen</v>
      </c>
      <c r="B73" s="149">
        <f t="shared" si="16"/>
        <v>1</v>
      </c>
      <c r="C73" s="149">
        <f t="shared" si="16"/>
        <v>1</v>
      </c>
      <c r="D73" s="149">
        <f t="shared" si="16"/>
        <v>4</v>
      </c>
      <c r="E73" s="149">
        <f t="shared" ref="E73:F75" si="18">ROUNDUP(IF(E$13="DEPLOY",MAX((E$90/100)*$B108,$B108),(E$90/100)*$B108),0)</f>
        <v>4</v>
      </c>
      <c r="F73" s="149">
        <f t="shared" si="18"/>
        <v>2</v>
      </c>
      <c r="G73" s="172"/>
      <c r="H73" s="172"/>
      <c r="I73" s="22"/>
      <c r="J73" s="22"/>
      <c r="K73" s="22"/>
      <c r="L73" s="83"/>
      <c r="M73" s="83"/>
      <c r="N73" s="83"/>
      <c r="O73" s="83"/>
      <c r="P73" s="83"/>
      <c r="Q73" s="211"/>
      <c r="R73" s="36"/>
      <c r="S73" s="36"/>
      <c r="T73" s="36"/>
      <c r="U73" s="36"/>
      <c r="V73" s="36"/>
      <c r="W73" s="36"/>
      <c r="X73" s="36"/>
      <c r="Y73" s="36"/>
      <c r="Z73" s="36"/>
      <c r="AA73" s="36"/>
      <c r="AB73" s="36"/>
      <c r="AC73" s="36"/>
      <c r="AD73" s="36"/>
      <c r="AE73" s="36"/>
      <c r="AF73" s="36"/>
      <c r="AG73" s="36"/>
      <c r="AH73" s="36"/>
      <c r="AI73" s="36"/>
    </row>
    <row r="74" spans="1:35" s="25" customFormat="1" ht="12" x14ac:dyDescent="0.2">
      <c r="A74" s="3" t="str">
        <f t="shared" si="15"/>
        <v>AMNS Controller Qualified Crewmen</v>
      </c>
      <c r="B74" s="149">
        <f t="shared" si="16"/>
        <v>1</v>
      </c>
      <c r="C74" s="149">
        <f t="shared" si="16"/>
        <v>1</v>
      </c>
      <c r="D74" s="149">
        <f t="shared" si="16"/>
        <v>1</v>
      </c>
      <c r="E74" s="149">
        <f t="shared" si="18"/>
        <v>1</v>
      </c>
      <c r="F74" s="149">
        <f t="shared" si="18"/>
        <v>1</v>
      </c>
      <c r="G74" s="172"/>
      <c r="H74" s="172"/>
      <c r="I74" s="22"/>
      <c r="J74" s="22"/>
      <c r="K74" s="22"/>
      <c r="L74" s="83"/>
      <c r="M74" s="236"/>
      <c r="N74" s="236"/>
      <c r="O74" s="236"/>
      <c r="P74" s="83"/>
      <c r="Q74" s="211"/>
      <c r="R74" s="36"/>
      <c r="S74" s="36"/>
      <c r="T74" s="36"/>
      <c r="U74" s="36"/>
      <c r="V74" s="36"/>
      <c r="W74" s="36"/>
      <c r="X74" s="36"/>
      <c r="Y74" s="36"/>
      <c r="Z74" s="36"/>
      <c r="AA74" s="36"/>
      <c r="AB74" s="36"/>
      <c r="AC74" s="36"/>
      <c r="AD74" s="36"/>
      <c r="AE74" s="36"/>
      <c r="AF74" s="36"/>
      <c r="AG74" s="36"/>
      <c r="AH74" s="36"/>
      <c r="AI74" s="36"/>
    </row>
    <row r="75" spans="1:35" s="25" customFormat="1" ht="12" x14ac:dyDescent="0.2">
      <c r="A75" s="3" t="str">
        <f>A110</f>
        <v>Required Skilled Crews</v>
      </c>
      <c r="B75" s="149">
        <f t="shared" si="16"/>
        <v>1</v>
      </c>
      <c r="C75" s="149">
        <f t="shared" si="16"/>
        <v>1</v>
      </c>
      <c r="D75" s="149">
        <f t="shared" si="16"/>
        <v>4</v>
      </c>
      <c r="E75" s="149">
        <f t="shared" si="18"/>
        <v>4</v>
      </c>
      <c r="F75" s="149">
        <f t="shared" si="18"/>
        <v>2</v>
      </c>
      <c r="G75" s="172"/>
      <c r="H75" s="172"/>
      <c r="I75" s="22"/>
      <c r="J75" s="22"/>
      <c r="K75" s="22"/>
      <c r="L75" s="83"/>
      <c r="M75" s="236"/>
      <c r="N75" s="236"/>
      <c r="O75" s="236"/>
      <c r="P75" s="83"/>
      <c r="Q75" s="211"/>
      <c r="R75" s="36"/>
      <c r="S75" s="36"/>
      <c r="T75" s="36"/>
      <c r="U75" s="36"/>
      <c r="V75" s="36"/>
      <c r="W75" s="36"/>
      <c r="X75" s="36"/>
      <c r="Y75" s="36"/>
      <c r="Z75" s="36"/>
      <c r="AA75" s="36"/>
      <c r="AB75" s="36"/>
      <c r="AC75" s="36"/>
      <c r="AD75" s="36"/>
      <c r="AE75" s="36"/>
      <c r="AF75" s="36"/>
      <c r="AG75" s="36"/>
      <c r="AH75" s="36"/>
      <c r="AI75" s="36"/>
    </row>
    <row r="76" spans="1:35" s="25" customFormat="1" ht="12" x14ac:dyDescent="0.2">
      <c r="A76" s="5"/>
      <c r="B76" s="5"/>
      <c r="C76" s="5"/>
      <c r="D76" s="239"/>
      <c r="E76" s="5"/>
      <c r="F76" s="23"/>
      <c r="G76" s="211"/>
      <c r="H76" s="172"/>
      <c r="I76" s="22"/>
      <c r="J76" s="22"/>
      <c r="K76" s="22"/>
      <c r="L76" s="236"/>
      <c r="M76" s="236"/>
      <c r="N76" s="236"/>
      <c r="O76" s="236"/>
      <c r="P76" s="83"/>
      <c r="Q76" s="211"/>
      <c r="R76" s="36"/>
      <c r="S76" s="36"/>
      <c r="T76" s="36"/>
      <c r="U76" s="36"/>
      <c r="V76" s="36"/>
      <c r="W76" s="36"/>
      <c r="X76" s="36"/>
      <c r="Y76" s="36"/>
      <c r="Z76" s="36"/>
      <c r="AA76" s="36"/>
      <c r="AB76" s="36"/>
      <c r="AC76" s="36"/>
      <c r="AD76" s="36"/>
      <c r="AE76" s="36"/>
      <c r="AF76" s="36"/>
      <c r="AG76" s="36"/>
      <c r="AH76" s="36"/>
      <c r="AI76" s="36"/>
    </row>
    <row r="77" spans="1:35" s="25" customFormat="1" ht="12" x14ac:dyDescent="0.2">
      <c r="B77" s="44"/>
      <c r="C77" s="36" t="s">
        <v>147</v>
      </c>
      <c r="D77" s="240"/>
      <c r="E77" s="211"/>
      <c r="F77" s="211"/>
      <c r="G77" s="211"/>
      <c r="H77" s="172"/>
      <c r="I77" s="22"/>
      <c r="J77" s="22"/>
      <c r="K77" s="22"/>
      <c r="L77" s="236"/>
      <c r="M77" s="236"/>
      <c r="N77" s="236"/>
      <c r="O77" s="236"/>
      <c r="P77" s="83"/>
      <c r="Q77" s="211"/>
      <c r="R77" s="36"/>
      <c r="S77" s="36"/>
      <c r="T77" s="36"/>
      <c r="U77" s="36"/>
      <c r="V77" s="36"/>
      <c r="W77" s="36"/>
      <c r="X77" s="36"/>
      <c r="Y77" s="36"/>
      <c r="Z77" s="36"/>
      <c r="AA77" s="36"/>
      <c r="AB77" s="36"/>
      <c r="AC77" s="36"/>
      <c r="AD77" s="36"/>
      <c r="AE77" s="36"/>
      <c r="AF77" s="36"/>
      <c r="AG77" s="36"/>
      <c r="AH77" s="36"/>
      <c r="AI77" s="36"/>
    </row>
    <row r="78" spans="1:35" s="25" customFormat="1" ht="12" x14ac:dyDescent="0.2">
      <c r="B78" s="45"/>
      <c r="C78" s="36" t="s">
        <v>148</v>
      </c>
      <c r="D78" s="240"/>
      <c r="E78" s="211"/>
      <c r="F78" s="211"/>
      <c r="G78" s="211"/>
      <c r="H78" s="172"/>
      <c r="I78" s="22"/>
      <c r="J78" s="23"/>
      <c r="K78" s="23"/>
      <c r="L78" s="83"/>
      <c r="M78" s="236"/>
      <c r="N78" s="236"/>
      <c r="O78" s="236"/>
      <c r="P78" s="83"/>
      <c r="Q78" s="211"/>
      <c r="R78" s="36"/>
      <c r="S78" s="36"/>
      <c r="T78" s="36"/>
      <c r="U78" s="36"/>
      <c r="V78" s="36"/>
      <c r="W78" s="36"/>
      <c r="X78" s="36"/>
      <c r="Y78" s="36"/>
      <c r="Z78" s="36"/>
      <c r="AA78" s="36"/>
      <c r="AB78" s="36"/>
      <c r="AC78" s="36"/>
      <c r="AD78" s="36"/>
      <c r="AE78" s="36"/>
      <c r="AF78" s="36"/>
      <c r="AG78" s="36"/>
      <c r="AH78" s="36"/>
      <c r="AI78" s="36"/>
    </row>
    <row r="79" spans="1:35" s="25" customFormat="1" ht="12" x14ac:dyDescent="0.2">
      <c r="D79" s="240"/>
      <c r="G79" s="211"/>
      <c r="H79" s="172"/>
      <c r="I79" s="22"/>
      <c r="J79" s="23"/>
      <c r="K79" s="23"/>
      <c r="L79" s="236"/>
      <c r="M79" s="236"/>
      <c r="N79" s="236"/>
      <c r="O79" s="236"/>
      <c r="P79" s="83"/>
      <c r="Q79" s="211"/>
      <c r="R79" s="36"/>
      <c r="S79" s="36"/>
      <c r="T79" s="36"/>
      <c r="U79" s="36"/>
      <c r="V79" s="36"/>
      <c r="W79" s="36"/>
      <c r="X79" s="36"/>
      <c r="Y79" s="36"/>
      <c r="Z79" s="36"/>
      <c r="AA79" s="36"/>
      <c r="AB79" s="36"/>
      <c r="AC79" s="36"/>
      <c r="AD79" s="36"/>
      <c r="AE79" s="36"/>
      <c r="AF79" s="36"/>
      <c r="AG79" s="36"/>
      <c r="AH79" s="36"/>
      <c r="AI79" s="36"/>
    </row>
    <row r="80" spans="1:35" s="25" customFormat="1" ht="12" x14ac:dyDescent="0.2">
      <c r="A80" s="25" t="s">
        <v>149</v>
      </c>
      <c r="D80" s="240"/>
      <c r="G80" s="211"/>
      <c r="H80" s="211"/>
      <c r="I80" s="23"/>
      <c r="J80" s="23"/>
      <c r="K80" s="23"/>
      <c r="L80" s="236"/>
      <c r="M80" s="236"/>
      <c r="N80" s="236"/>
      <c r="O80" s="236"/>
      <c r="P80" s="236"/>
      <c r="Q80" s="211"/>
      <c r="R80" s="36"/>
      <c r="S80" s="36"/>
      <c r="T80" s="36"/>
      <c r="U80" s="36"/>
      <c r="V80" s="36"/>
      <c r="W80" s="36"/>
      <c r="X80" s="36"/>
      <c r="Y80" s="36"/>
      <c r="Z80" s="36"/>
      <c r="AA80" s="36"/>
      <c r="AB80" s="36"/>
      <c r="AC80" s="36"/>
      <c r="AD80" s="36"/>
      <c r="AE80" s="36"/>
      <c r="AF80" s="36"/>
      <c r="AG80" s="36"/>
      <c r="AH80" s="36"/>
      <c r="AI80" s="36"/>
    </row>
    <row r="81" spans="1:35" s="25" customFormat="1" ht="12" x14ac:dyDescent="0.2">
      <c r="A81" s="261" t="s">
        <v>150</v>
      </c>
      <c r="D81" s="240"/>
      <c r="G81" s="211"/>
      <c r="H81" s="211"/>
      <c r="I81" s="23"/>
      <c r="J81" s="23"/>
      <c r="K81" s="23"/>
      <c r="L81" s="236"/>
      <c r="M81" s="83"/>
      <c r="N81" s="83"/>
      <c r="O81" s="83"/>
      <c r="P81" s="236"/>
      <c r="Q81" s="211"/>
      <c r="R81" s="36"/>
      <c r="S81" s="36"/>
      <c r="T81" s="36"/>
      <c r="U81" s="36"/>
      <c r="V81" s="36"/>
      <c r="W81" s="36"/>
      <c r="X81" s="36"/>
      <c r="Y81" s="36"/>
      <c r="Z81" s="36"/>
      <c r="AA81" s="36"/>
      <c r="AB81" s="36"/>
      <c r="AC81" s="36"/>
      <c r="AD81" s="36"/>
      <c r="AE81" s="36"/>
      <c r="AF81" s="36"/>
      <c r="AG81" s="36"/>
      <c r="AH81" s="36"/>
      <c r="AI81" s="36"/>
    </row>
    <row r="82" spans="1:35" s="25" customFormat="1" ht="12" x14ac:dyDescent="0.2">
      <c r="A82" s="211" t="s">
        <v>151</v>
      </c>
      <c r="D82" s="240"/>
      <c r="E82" s="36"/>
      <c r="F82" s="36"/>
      <c r="G82" s="211"/>
      <c r="H82" s="211"/>
      <c r="I82" s="23"/>
      <c r="J82" s="23"/>
      <c r="K82" s="23"/>
      <c r="L82" s="236"/>
      <c r="M82" s="83"/>
      <c r="N82" s="83"/>
      <c r="O82" s="83"/>
      <c r="P82" s="236"/>
      <c r="Q82" s="211"/>
      <c r="R82" s="36"/>
      <c r="S82" s="36"/>
      <c r="T82" s="36"/>
      <c r="U82" s="36"/>
      <c r="V82" s="36"/>
      <c r="W82" s="36"/>
      <c r="X82" s="36"/>
      <c r="Y82" s="36"/>
      <c r="Z82" s="36"/>
      <c r="AA82" s="36"/>
      <c r="AB82" s="36"/>
      <c r="AC82" s="36"/>
      <c r="AD82" s="36"/>
      <c r="AE82" s="36"/>
      <c r="AF82" s="36"/>
      <c r="AG82" s="36"/>
      <c r="AH82" s="36"/>
      <c r="AI82" s="36"/>
    </row>
    <row r="83" spans="1:35" s="25" customFormat="1" thickBot="1" x14ac:dyDescent="0.25">
      <c r="A83" s="31"/>
      <c r="B83" s="31"/>
      <c r="C83" s="31"/>
      <c r="D83" s="241"/>
      <c r="E83" s="31"/>
      <c r="G83" s="258"/>
      <c r="H83" s="183"/>
      <c r="I83" s="5"/>
      <c r="J83" s="31"/>
      <c r="K83" s="31"/>
      <c r="L83" s="83"/>
      <c r="M83" s="83"/>
      <c r="N83" s="83"/>
      <c r="O83" s="83"/>
      <c r="P83" s="289"/>
      <c r="Q83" s="211"/>
      <c r="R83" s="36"/>
      <c r="S83" s="36"/>
      <c r="T83" s="36"/>
      <c r="U83" s="36"/>
      <c r="V83" s="36"/>
      <c r="W83" s="36"/>
      <c r="X83" s="36"/>
      <c r="Y83" s="36"/>
      <c r="Z83" s="36"/>
      <c r="AA83" s="36"/>
      <c r="AB83" s="36"/>
      <c r="AC83" s="36"/>
      <c r="AD83" s="36"/>
      <c r="AE83" s="36"/>
      <c r="AF83" s="36"/>
      <c r="AG83" s="36"/>
      <c r="AH83" s="36"/>
      <c r="AI83" s="36"/>
    </row>
    <row r="84" spans="1:35" s="25" customFormat="1" thickBot="1" x14ac:dyDescent="0.25">
      <c r="A84" s="670" t="s">
        <v>152</v>
      </c>
      <c r="B84" s="671"/>
      <c r="C84" s="671"/>
      <c r="D84" s="671"/>
      <c r="E84" s="671"/>
      <c r="F84" s="672"/>
      <c r="G84" s="258"/>
      <c r="H84" s="183"/>
      <c r="I84" s="31"/>
      <c r="J84" s="31"/>
      <c r="K84" s="31"/>
      <c r="L84" s="83"/>
      <c r="M84" s="83"/>
      <c r="N84" s="83"/>
      <c r="O84" s="83"/>
      <c r="P84" s="83"/>
      <c r="Q84" s="211"/>
      <c r="R84" s="36"/>
      <c r="S84" s="36"/>
      <c r="T84" s="36"/>
      <c r="U84" s="36"/>
      <c r="V84" s="36"/>
      <c r="W84" s="36"/>
      <c r="X84" s="36"/>
      <c r="Y84" s="36"/>
      <c r="Z84" s="36"/>
      <c r="AA84" s="36"/>
      <c r="AB84" s="36"/>
      <c r="AC84" s="36"/>
      <c r="AD84" s="36"/>
      <c r="AE84" s="36"/>
      <c r="AF84" s="36"/>
      <c r="AG84" s="36"/>
      <c r="AH84" s="36"/>
      <c r="AI84" s="36"/>
    </row>
    <row r="85" spans="1:35" s="25" customFormat="1" ht="12" x14ac:dyDescent="0.2">
      <c r="A85" s="90" t="s">
        <v>153</v>
      </c>
      <c r="B85" s="324">
        <f>MIN(100,B87+$B$91)</f>
        <v>26.5</v>
      </c>
      <c r="C85" s="324">
        <f>MIN(100,C87+$D$91)</f>
        <v>20</v>
      </c>
      <c r="D85" s="324">
        <f>MIN(100,D87+$D$91)</f>
        <v>80</v>
      </c>
      <c r="E85" s="91">
        <f t="shared" ref="E85" si="19">MIN(100,E87+$E$64)</f>
        <v>100</v>
      </c>
      <c r="F85" s="71">
        <f>MIN(100,F87+$B$106)</f>
        <v>45</v>
      </c>
      <c r="G85" s="258"/>
      <c r="H85" s="258"/>
      <c r="I85" s="31"/>
      <c r="J85" s="31"/>
      <c r="K85" s="31"/>
      <c r="L85" s="83"/>
      <c r="M85" s="83"/>
      <c r="N85" s="83"/>
      <c r="O85" s="83"/>
      <c r="P85" s="83"/>
      <c r="Q85" s="211"/>
      <c r="R85" s="36"/>
      <c r="S85" s="36"/>
      <c r="T85" s="36"/>
      <c r="U85" s="36"/>
      <c r="V85" s="36"/>
      <c r="W85" s="36"/>
      <c r="X85" s="36"/>
      <c r="Y85" s="36"/>
      <c r="Z85" s="36"/>
      <c r="AA85" s="36"/>
      <c r="AB85" s="36"/>
      <c r="AC85" s="36"/>
      <c r="AD85" s="36"/>
      <c r="AE85" s="36"/>
      <c r="AF85" s="36"/>
      <c r="AG85" s="36"/>
      <c r="AH85" s="36"/>
      <c r="AI85" s="36"/>
    </row>
    <row r="86" spans="1:35" s="25" customFormat="1" ht="12" x14ac:dyDescent="0.2">
      <c r="A86" s="6" t="s">
        <v>154</v>
      </c>
      <c r="B86" s="323">
        <f>MIN(100,B87+$B$92)</f>
        <v>20</v>
      </c>
      <c r="C86" s="323">
        <f>MIN(100,C87+$D$92)</f>
        <v>20</v>
      </c>
      <c r="D86" s="323">
        <f>MIN(100,D87+$D$92)</f>
        <v>80</v>
      </c>
      <c r="E86" s="7">
        <f>MIN(100,E87+$E$65)</f>
        <v>100</v>
      </c>
      <c r="F86" s="72">
        <f>MIN(100,F87+$B$107)</f>
        <v>53</v>
      </c>
      <c r="G86" s="258"/>
      <c r="H86" s="258"/>
      <c r="I86" s="31"/>
      <c r="J86" s="31"/>
      <c r="K86" s="31"/>
      <c r="L86" s="83"/>
      <c r="M86" s="83"/>
      <c r="N86" s="83"/>
      <c r="O86" s="83"/>
      <c r="P86" s="83"/>
      <c r="Q86" s="211"/>
      <c r="R86" s="36"/>
      <c r="S86" s="36"/>
      <c r="T86" s="36"/>
      <c r="U86" s="36"/>
      <c r="V86" s="36"/>
      <c r="W86" s="36"/>
      <c r="X86" s="36"/>
      <c r="Y86" s="36"/>
      <c r="Z86" s="36"/>
      <c r="AA86" s="36"/>
      <c r="AB86" s="36"/>
      <c r="AC86" s="36"/>
      <c r="AD86" s="36"/>
      <c r="AE86" s="36"/>
      <c r="AF86" s="36"/>
      <c r="AG86" s="36"/>
      <c r="AH86" s="36"/>
      <c r="AI86" s="36"/>
    </row>
    <row r="87" spans="1:35" s="25" customFormat="1" ht="12" x14ac:dyDescent="0.2">
      <c r="A87" s="6" t="s">
        <v>155</v>
      </c>
      <c r="B87" s="242">
        <v>5</v>
      </c>
      <c r="C87" s="242">
        <v>20</v>
      </c>
      <c r="D87" s="242">
        <v>80</v>
      </c>
      <c r="E87" s="53">
        <v>100</v>
      </c>
      <c r="F87" s="73">
        <v>37</v>
      </c>
      <c r="G87" s="258"/>
      <c r="H87" s="258"/>
      <c r="I87" s="31"/>
      <c r="J87" s="46"/>
      <c r="K87" s="46"/>
      <c r="L87" s="83"/>
      <c r="M87" s="83"/>
      <c r="N87" s="83"/>
      <c r="O87" s="83"/>
      <c r="P87" s="83"/>
      <c r="Q87" s="211"/>
      <c r="R87" s="36"/>
      <c r="S87" s="36"/>
      <c r="T87" s="36"/>
      <c r="U87" s="36"/>
      <c r="V87" s="36"/>
      <c r="W87" s="36"/>
      <c r="X87" s="36"/>
      <c r="Y87" s="36"/>
      <c r="Z87" s="36"/>
      <c r="AA87" s="36"/>
      <c r="AB87" s="36"/>
      <c r="AC87" s="36"/>
      <c r="AD87" s="36"/>
      <c r="AE87" s="36"/>
      <c r="AF87" s="36"/>
      <c r="AG87" s="36"/>
      <c r="AH87" s="36"/>
      <c r="AI87" s="36"/>
    </row>
    <row r="88" spans="1:35" s="25" customFormat="1" ht="12" x14ac:dyDescent="0.2">
      <c r="A88" s="6" t="s">
        <v>156</v>
      </c>
      <c r="B88" s="7">
        <f>MIN(80,IF(B13="DEPLOY",80,MAX(0,B87-$B$92)))</f>
        <v>0</v>
      </c>
      <c r="C88" s="7">
        <f>MIN(80,IF(C13="DEPLOY",80,MAX(0,C87-$B$92)))</f>
        <v>5</v>
      </c>
      <c r="D88" s="7">
        <f>MIN(80,IF(D13="DEPLOY",80,MAX(0,D87-$B$92)))</f>
        <v>65</v>
      </c>
      <c r="E88" s="325">
        <f>MIN(80,IF(G13="Deploy",80,MAX(0,E87-$B$92)))</f>
        <v>80</v>
      </c>
      <c r="F88" s="72">
        <f>MIN(80,IF(H13="Deploy",80,MAX(0,F87-$B$92)))</f>
        <v>22</v>
      </c>
      <c r="G88" s="190"/>
      <c r="H88" s="258"/>
      <c r="I88" s="31"/>
      <c r="J88" s="24"/>
      <c r="K88" s="24"/>
      <c r="L88" s="83"/>
      <c r="M88" s="83"/>
      <c r="N88" s="83"/>
      <c r="O88" s="83"/>
      <c r="P88" s="83"/>
      <c r="Q88" s="211"/>
      <c r="R88" s="36"/>
      <c r="S88" s="36"/>
      <c r="T88" s="36"/>
      <c r="U88" s="36"/>
      <c r="V88" s="36"/>
      <c r="W88" s="36"/>
      <c r="X88" s="36"/>
      <c r="Y88" s="36"/>
      <c r="Z88" s="36"/>
      <c r="AA88" s="36"/>
      <c r="AB88" s="36"/>
      <c r="AC88" s="36"/>
      <c r="AD88" s="36"/>
      <c r="AE88" s="36"/>
      <c r="AF88" s="36"/>
      <c r="AG88" s="36"/>
      <c r="AH88" s="36"/>
      <c r="AI88" s="36"/>
    </row>
    <row r="89" spans="1:35" s="25" customFormat="1" thickBot="1" x14ac:dyDescent="0.25">
      <c r="A89" s="8" t="s">
        <v>157</v>
      </c>
      <c r="B89" s="140">
        <f>MIN(60,IF(B13="DEPLOY",60,MAX(0,B87-B91&amp;101)))</f>
        <v>0</v>
      </c>
      <c r="C89" s="140">
        <f>MIN(60,IF(C13="DEPLOY",60,MAX(0,C87-B91&amp;101)))</f>
        <v>0</v>
      </c>
      <c r="D89" s="140">
        <f>MIN(60,IF(D13="DEPLOY",60,MAX(0,D87-B91&amp;101)))</f>
        <v>58.510100000000001</v>
      </c>
      <c r="E89" s="327">
        <f>MIN(60,IF(G13="Deploy",60,MAX(0,E87-$B$91)))</f>
        <v>60</v>
      </c>
      <c r="F89" s="141">
        <f>MIN(60,IF(H13="Deploy",60,MAX(0,F87-$B$91)))</f>
        <v>15.5</v>
      </c>
      <c r="G89" s="186"/>
      <c r="H89" s="258"/>
      <c r="I89" s="46"/>
      <c r="J89" s="24"/>
      <c r="K89" s="24"/>
      <c r="L89" s="83"/>
      <c r="M89" s="83"/>
      <c r="N89" s="83"/>
      <c r="O89" s="83"/>
      <c r="P89" s="83"/>
      <c r="Q89" s="211"/>
      <c r="R89" s="36"/>
      <c r="S89" s="36"/>
      <c r="T89" s="36"/>
      <c r="U89" s="36"/>
      <c r="V89" s="36"/>
      <c r="W89" s="36"/>
      <c r="X89" s="36"/>
      <c r="Y89" s="36"/>
      <c r="Z89" s="36"/>
      <c r="AA89" s="36"/>
      <c r="AB89" s="36"/>
      <c r="AC89" s="36"/>
      <c r="AD89" s="36"/>
      <c r="AE89" s="36"/>
      <c r="AF89" s="36"/>
      <c r="AG89" s="36"/>
      <c r="AH89" s="36"/>
      <c r="AI89" s="36"/>
    </row>
    <row r="90" spans="1:35" s="25" customFormat="1" thickBot="1" x14ac:dyDescent="0.25">
      <c r="A90" s="326" t="s">
        <v>158</v>
      </c>
      <c r="B90" s="138">
        <v>5</v>
      </c>
      <c r="C90" s="243">
        <v>20</v>
      </c>
      <c r="D90" s="243">
        <v>80</v>
      </c>
      <c r="E90" s="138">
        <v>100</v>
      </c>
      <c r="F90" s="139">
        <v>37</v>
      </c>
      <c r="G90" s="186"/>
      <c r="H90" s="258"/>
      <c r="I90" s="24"/>
      <c r="J90" s="24"/>
      <c r="K90" s="24"/>
      <c r="L90" s="83"/>
      <c r="M90" s="289"/>
      <c r="N90" s="289"/>
      <c r="O90" s="289"/>
      <c r="P90" s="83"/>
      <c r="Q90" s="211"/>
      <c r="R90" s="36"/>
      <c r="S90" s="36"/>
      <c r="T90" s="36"/>
      <c r="U90" s="36"/>
      <c r="V90" s="36"/>
      <c r="W90" s="36"/>
      <c r="X90" s="36"/>
      <c r="Y90" s="36"/>
      <c r="Z90" s="36"/>
      <c r="AA90" s="36"/>
      <c r="AB90" s="36"/>
      <c r="AC90" s="36"/>
      <c r="AD90" s="36"/>
      <c r="AE90" s="36"/>
      <c r="AF90" s="36"/>
      <c r="AG90" s="36"/>
      <c r="AH90" s="36"/>
      <c r="AI90" s="36"/>
    </row>
    <row r="91" spans="1:35" s="25" customFormat="1" ht="12" x14ac:dyDescent="0.2">
      <c r="A91" s="328" t="s">
        <v>159</v>
      </c>
      <c r="B91" s="329">
        <v>21.5</v>
      </c>
      <c r="C91" s="321"/>
      <c r="D91" s="322"/>
      <c r="E91" s="210"/>
      <c r="F91" s="24"/>
      <c r="G91" s="198"/>
      <c r="H91" s="258"/>
      <c r="I91" s="24"/>
      <c r="J91" s="32"/>
      <c r="K91" s="32"/>
      <c r="L91" s="83"/>
      <c r="M91" s="289"/>
      <c r="N91" s="289"/>
      <c r="O91" s="289"/>
      <c r="P91" s="83"/>
      <c r="Q91" s="211"/>
      <c r="R91" s="36"/>
      <c r="S91" s="36"/>
      <c r="T91" s="36"/>
      <c r="U91" s="36"/>
      <c r="V91" s="36"/>
      <c r="W91" s="36"/>
      <c r="X91" s="36"/>
      <c r="Y91" s="36"/>
      <c r="Z91" s="36"/>
      <c r="AA91" s="36"/>
      <c r="AB91" s="36"/>
      <c r="AC91" s="36"/>
      <c r="AD91" s="36"/>
      <c r="AE91" s="36"/>
      <c r="AF91" s="36"/>
      <c r="AG91" s="36"/>
      <c r="AH91" s="36"/>
      <c r="AI91" s="36"/>
    </row>
    <row r="92" spans="1:35" s="25" customFormat="1" thickBot="1" x14ac:dyDescent="0.25">
      <c r="A92" s="51" t="s">
        <v>160</v>
      </c>
      <c r="B92" s="52">
        <v>15</v>
      </c>
      <c r="C92" s="321"/>
      <c r="D92" s="322"/>
      <c r="E92" s="210"/>
      <c r="F92" s="15"/>
      <c r="G92" s="198"/>
      <c r="H92" s="190"/>
      <c r="I92" s="24"/>
      <c r="J92" s="24"/>
      <c r="K92" s="24"/>
      <c r="L92" s="289"/>
      <c r="M92" s="83"/>
      <c r="N92" s="83"/>
      <c r="O92" s="83"/>
      <c r="P92" s="83"/>
      <c r="Q92" s="211"/>
      <c r="R92" s="36"/>
      <c r="S92" s="36"/>
      <c r="T92" s="36"/>
      <c r="U92" s="36"/>
      <c r="V92" s="36"/>
      <c r="W92" s="36"/>
      <c r="X92" s="36"/>
      <c r="Y92" s="36"/>
      <c r="Z92" s="36"/>
      <c r="AA92" s="36"/>
      <c r="AB92" s="36"/>
      <c r="AC92" s="36"/>
      <c r="AD92" s="36"/>
      <c r="AE92" s="36"/>
      <c r="AF92" s="36"/>
      <c r="AG92" s="36"/>
      <c r="AH92" s="36"/>
      <c r="AI92" s="36"/>
    </row>
    <row r="93" spans="1:35" s="25" customFormat="1" thickBot="1" x14ac:dyDescent="0.25">
      <c r="A93" s="9"/>
      <c r="B93" s="9"/>
      <c r="C93" s="15"/>
      <c r="D93" s="23"/>
      <c r="E93" s="15"/>
      <c r="F93" s="5"/>
      <c r="G93" s="198"/>
      <c r="H93" s="186"/>
      <c r="I93" s="32"/>
      <c r="J93" s="24"/>
      <c r="K93" s="24"/>
      <c r="L93" s="289"/>
      <c r="M93" s="83"/>
      <c r="N93" s="83"/>
      <c r="O93" s="83"/>
      <c r="P93" s="289"/>
      <c r="Q93" s="211"/>
      <c r="R93" s="36"/>
      <c r="S93" s="36"/>
      <c r="T93" s="36"/>
      <c r="U93" s="36"/>
      <c r="V93" s="36"/>
      <c r="W93" s="36"/>
      <c r="X93" s="36"/>
      <c r="Y93" s="36"/>
      <c r="Z93" s="36"/>
      <c r="AA93" s="36"/>
      <c r="AB93" s="36"/>
      <c r="AC93" s="36"/>
      <c r="AD93" s="36"/>
      <c r="AE93" s="36"/>
      <c r="AF93" s="36"/>
      <c r="AG93" s="36"/>
      <c r="AH93" s="36"/>
      <c r="AI93" s="36"/>
    </row>
    <row r="94" spans="1:35" s="25" customFormat="1" thickBot="1" x14ac:dyDescent="0.25">
      <c r="A94" s="319" t="s">
        <v>161</v>
      </c>
      <c r="B94" s="320"/>
      <c r="C94" s="246"/>
      <c r="D94" s="246"/>
      <c r="E94" s="246"/>
      <c r="F94" s="9"/>
      <c r="G94" s="199"/>
      <c r="H94" s="186"/>
      <c r="I94" s="24"/>
      <c r="J94" s="5"/>
      <c r="K94" s="5"/>
      <c r="L94" s="83"/>
      <c r="M94" s="83"/>
      <c r="N94" s="83"/>
      <c r="O94" s="83"/>
      <c r="P94" s="289"/>
      <c r="Q94" s="211"/>
      <c r="R94" s="36"/>
      <c r="S94" s="36"/>
      <c r="T94" s="36"/>
      <c r="U94" s="36"/>
      <c r="V94" s="36"/>
      <c r="W94" s="36"/>
      <c r="X94" s="36"/>
      <c r="Y94" s="36"/>
      <c r="Z94" s="36"/>
      <c r="AA94" s="36"/>
      <c r="AB94" s="36"/>
      <c r="AC94" s="36"/>
      <c r="AD94" s="36"/>
      <c r="AE94" s="36"/>
      <c r="AF94" s="36"/>
      <c r="AG94" s="36"/>
      <c r="AH94" s="36"/>
      <c r="AI94" s="36"/>
    </row>
    <row r="95" spans="1:35" s="25" customFormat="1" thickBot="1" x14ac:dyDescent="0.25">
      <c r="A95" s="319" t="s">
        <v>162</v>
      </c>
      <c r="B95" s="320"/>
      <c r="C95" s="372" t="s">
        <v>163</v>
      </c>
      <c r="D95" s="246"/>
      <c r="E95" s="246"/>
      <c r="F95" s="5"/>
      <c r="G95" s="199"/>
      <c r="H95" s="198"/>
      <c r="I95" s="24"/>
      <c r="J95" s="5"/>
      <c r="K95" s="5"/>
      <c r="L95" s="83"/>
      <c r="M95" s="83"/>
      <c r="N95" s="83"/>
      <c r="O95" s="83"/>
      <c r="P95" s="83"/>
      <c r="Q95" s="211"/>
      <c r="R95" s="36"/>
      <c r="S95" s="36"/>
      <c r="T95" s="36"/>
      <c r="U95" s="36"/>
      <c r="V95" s="36"/>
      <c r="W95" s="36"/>
      <c r="X95" s="36"/>
      <c r="Y95" s="36"/>
      <c r="Z95" s="36"/>
      <c r="AA95" s="36"/>
      <c r="AB95" s="36"/>
      <c r="AC95" s="36"/>
      <c r="AD95" s="36"/>
      <c r="AE95" s="36"/>
      <c r="AF95" s="36"/>
      <c r="AG95" s="36"/>
      <c r="AH95" s="36"/>
      <c r="AI95" s="36"/>
    </row>
    <row r="96" spans="1:35" s="25" customFormat="1" ht="13.5" customHeight="1" x14ac:dyDescent="0.2">
      <c r="A96" s="375" t="s">
        <v>164</v>
      </c>
      <c r="B96" s="376">
        <v>8</v>
      </c>
      <c r="C96" s="15"/>
      <c r="D96" s="210"/>
      <c r="E96" s="210"/>
      <c r="F96" s="5"/>
      <c r="H96" s="198"/>
      <c r="I96" s="5"/>
      <c r="J96" s="9"/>
      <c r="K96" s="9"/>
      <c r="L96" s="83"/>
      <c r="M96" s="83"/>
      <c r="N96" s="83"/>
      <c r="O96" s="83"/>
      <c r="P96" s="83"/>
      <c r="Q96" s="211"/>
      <c r="R96" s="36"/>
      <c r="S96" s="36"/>
      <c r="T96" s="36"/>
      <c r="U96" s="36"/>
      <c r="V96" s="36"/>
      <c r="W96" s="36"/>
      <c r="X96" s="36"/>
      <c r="Y96" s="36"/>
      <c r="Z96" s="36"/>
      <c r="AA96" s="36"/>
      <c r="AB96" s="36"/>
      <c r="AC96" s="36"/>
      <c r="AD96" s="36"/>
      <c r="AE96" s="36"/>
      <c r="AF96" s="36"/>
      <c r="AG96" s="36"/>
      <c r="AH96" s="36"/>
      <c r="AI96" s="36"/>
    </row>
    <row r="97" spans="1:35" s="25" customFormat="1" ht="13.5" customHeight="1" x14ac:dyDescent="0.2">
      <c r="A97" s="13" t="s">
        <v>165</v>
      </c>
      <c r="B97" s="14">
        <v>8</v>
      </c>
      <c r="C97" s="15"/>
      <c r="D97" s="210"/>
      <c r="F97" s="5"/>
      <c r="H97" s="198"/>
      <c r="I97" s="5"/>
      <c r="J97" s="15"/>
      <c r="K97" s="15"/>
      <c r="L97" s="83"/>
      <c r="M97" s="83"/>
      <c r="N97" s="83"/>
      <c r="O97" s="83"/>
      <c r="P97" s="83"/>
      <c r="Q97" s="211"/>
      <c r="R97" s="36"/>
      <c r="S97" s="36"/>
      <c r="T97" s="36"/>
      <c r="U97" s="36"/>
      <c r="V97" s="36"/>
      <c r="W97" s="36"/>
      <c r="X97" s="36"/>
      <c r="Y97" s="36"/>
      <c r="Z97" s="36"/>
      <c r="AA97" s="36"/>
      <c r="AB97" s="36"/>
      <c r="AC97" s="36"/>
      <c r="AD97" s="36"/>
      <c r="AE97" s="36"/>
      <c r="AF97" s="36"/>
      <c r="AG97" s="36"/>
      <c r="AH97" s="36"/>
      <c r="AI97" s="36"/>
    </row>
    <row r="98" spans="1:35" s="25" customFormat="1" ht="12" x14ac:dyDescent="0.2">
      <c r="A98" s="10" t="s">
        <v>166</v>
      </c>
      <c r="B98" s="11">
        <v>16</v>
      </c>
      <c r="C98" s="15"/>
      <c r="D98" s="210"/>
      <c r="E98" s="211"/>
      <c r="F98" s="9"/>
      <c r="H98" s="199"/>
      <c r="I98" s="9"/>
      <c r="J98" s="5"/>
      <c r="K98" s="15"/>
      <c r="L98" s="83"/>
      <c r="M98" s="83"/>
      <c r="N98" s="83"/>
      <c r="O98" s="83"/>
      <c r="P98" s="83"/>
      <c r="Q98" s="211"/>
      <c r="R98" s="36"/>
      <c r="S98" s="36"/>
      <c r="T98" s="36"/>
      <c r="U98" s="36"/>
      <c r="V98" s="36"/>
      <c r="W98" s="36"/>
      <c r="X98" s="36"/>
      <c r="Y98" s="36"/>
      <c r="Z98" s="36"/>
      <c r="AA98" s="36"/>
      <c r="AB98" s="36"/>
      <c r="AC98" s="36"/>
      <c r="AD98" s="36"/>
      <c r="AE98" s="36"/>
      <c r="AF98" s="36"/>
      <c r="AG98" s="36"/>
      <c r="AH98" s="36"/>
      <c r="AI98" s="36"/>
    </row>
    <row r="99" spans="1:35" s="25" customFormat="1" ht="12" x14ac:dyDescent="0.2">
      <c r="A99" s="13" t="s">
        <v>167</v>
      </c>
      <c r="B99" s="14">
        <v>16</v>
      </c>
      <c r="C99" s="15"/>
      <c r="D99" s="210"/>
      <c r="E99" s="211"/>
      <c r="F99" s="9"/>
      <c r="H99" s="199"/>
      <c r="I99" s="15"/>
      <c r="J99" s="18"/>
      <c r="K99" s="5"/>
      <c r="L99" s="83"/>
      <c r="M99" s="83"/>
      <c r="N99" s="83"/>
      <c r="O99" s="83"/>
      <c r="P99" s="83"/>
      <c r="Q99" s="211"/>
      <c r="R99" s="36"/>
      <c r="S99" s="36"/>
      <c r="T99" s="36"/>
      <c r="U99" s="36"/>
      <c r="V99" s="36"/>
      <c r="W99" s="36"/>
      <c r="X99" s="36"/>
      <c r="Y99" s="36"/>
      <c r="Z99" s="36"/>
      <c r="AA99" s="36"/>
      <c r="AB99" s="36"/>
      <c r="AC99" s="36"/>
      <c r="AD99" s="36"/>
      <c r="AE99" s="36"/>
      <c r="AF99" s="36"/>
      <c r="AG99" s="36"/>
      <c r="AH99" s="36"/>
      <c r="AI99" s="36"/>
    </row>
    <row r="100" spans="1:35" s="25" customFormat="1" ht="12" x14ac:dyDescent="0.2">
      <c r="A100" s="13" t="s">
        <v>168</v>
      </c>
      <c r="B100" s="16">
        <v>4</v>
      </c>
      <c r="C100" s="15"/>
      <c r="D100" s="210"/>
      <c r="F100" s="508"/>
      <c r="G100" s="176"/>
      <c r="I100" s="5"/>
      <c r="J100" s="211"/>
      <c r="L100" s="83"/>
      <c r="M100" s="83"/>
      <c r="N100" s="83"/>
      <c r="O100" s="83"/>
      <c r="P100" s="83"/>
      <c r="Q100" s="211"/>
      <c r="R100" s="36"/>
      <c r="S100" s="36"/>
      <c r="T100" s="36"/>
      <c r="U100" s="36"/>
      <c r="V100" s="36"/>
      <c r="W100" s="36"/>
      <c r="X100" s="36"/>
      <c r="Y100" s="36"/>
      <c r="Z100" s="36"/>
      <c r="AA100" s="36"/>
      <c r="AB100" s="36"/>
      <c r="AC100" s="36"/>
      <c r="AD100" s="36"/>
      <c r="AE100" s="36"/>
      <c r="AF100" s="36"/>
      <c r="AG100" s="36"/>
      <c r="AH100" s="36"/>
      <c r="AI100" s="36"/>
    </row>
    <row r="101" spans="1:35" s="25" customFormat="1" ht="12" x14ac:dyDescent="0.2">
      <c r="A101" s="13" t="s">
        <v>169</v>
      </c>
      <c r="B101" s="16">
        <v>4</v>
      </c>
      <c r="C101" s="15"/>
      <c r="D101" s="210"/>
      <c r="F101" s="508"/>
      <c r="G101" s="176"/>
      <c r="I101" s="18"/>
      <c r="J101" s="211"/>
      <c r="L101" s="83"/>
      <c r="M101" s="83"/>
      <c r="N101" s="83"/>
      <c r="O101" s="83"/>
      <c r="P101" s="83"/>
      <c r="Q101" s="211"/>
      <c r="R101" s="36"/>
      <c r="S101" s="36"/>
      <c r="T101" s="36"/>
      <c r="U101" s="36"/>
      <c r="V101" s="36"/>
      <c r="W101" s="36"/>
      <c r="X101" s="36"/>
      <c r="Y101" s="36"/>
      <c r="Z101" s="36"/>
      <c r="AA101" s="36"/>
      <c r="AB101" s="36"/>
      <c r="AC101" s="36"/>
      <c r="AD101" s="36"/>
      <c r="AE101" s="36"/>
      <c r="AF101" s="36"/>
      <c r="AG101" s="36"/>
      <c r="AH101" s="36"/>
      <c r="AI101" s="36"/>
    </row>
    <row r="102" spans="1:35" s="25" customFormat="1" ht="12" x14ac:dyDescent="0.2">
      <c r="A102" s="13" t="s">
        <v>170</v>
      </c>
      <c r="B102" s="16">
        <v>4</v>
      </c>
      <c r="C102" s="15"/>
      <c r="D102" s="210"/>
      <c r="F102" s="508"/>
      <c r="G102" s="176"/>
      <c r="I102" s="211"/>
      <c r="J102" s="15"/>
      <c r="K102" s="210"/>
      <c r="L102" s="83"/>
      <c r="M102" s="83"/>
      <c r="N102" s="83"/>
      <c r="O102" s="83"/>
      <c r="P102" s="83"/>
      <c r="Q102" s="211"/>
      <c r="R102" s="36"/>
      <c r="S102" s="36"/>
      <c r="T102" s="36"/>
      <c r="U102" s="36"/>
      <c r="V102" s="36"/>
      <c r="W102" s="36"/>
      <c r="X102" s="36"/>
      <c r="Y102" s="36"/>
      <c r="Z102" s="36"/>
      <c r="AA102" s="36"/>
      <c r="AB102" s="36"/>
      <c r="AC102" s="36"/>
      <c r="AD102" s="36"/>
      <c r="AE102" s="36"/>
      <c r="AF102" s="36"/>
      <c r="AG102" s="36"/>
      <c r="AH102" s="36"/>
      <c r="AI102" s="36"/>
    </row>
    <row r="103" spans="1:35" s="25" customFormat="1" ht="12" x14ac:dyDescent="0.2">
      <c r="A103" s="13" t="s">
        <v>171</v>
      </c>
      <c r="B103" s="14">
        <v>4</v>
      </c>
      <c r="C103" s="15"/>
      <c r="D103" s="210"/>
      <c r="F103" s="508"/>
      <c r="G103" s="176"/>
      <c r="I103" s="211"/>
      <c r="J103" s="321"/>
      <c r="K103" s="210"/>
      <c r="L103" s="83"/>
      <c r="M103" s="289"/>
      <c r="N103" s="289"/>
      <c r="O103" s="289"/>
      <c r="P103" s="83"/>
      <c r="Q103" s="211"/>
      <c r="R103" s="36"/>
      <c r="S103" s="36"/>
      <c r="T103" s="36"/>
      <c r="U103" s="36"/>
      <c r="V103" s="36"/>
      <c r="W103" s="36"/>
      <c r="X103" s="36"/>
      <c r="Y103" s="36"/>
      <c r="Z103" s="36"/>
      <c r="AA103" s="36"/>
      <c r="AB103" s="36"/>
      <c r="AC103" s="36"/>
      <c r="AD103" s="36"/>
      <c r="AE103" s="36"/>
      <c r="AF103" s="36"/>
      <c r="AG103" s="36"/>
      <c r="AH103" s="36"/>
      <c r="AI103" s="36"/>
    </row>
    <row r="104" spans="1:35" s="25" customFormat="1" ht="12" x14ac:dyDescent="0.2">
      <c r="A104" s="13" t="s">
        <v>172</v>
      </c>
      <c r="B104" s="16">
        <v>4</v>
      </c>
      <c r="C104" s="15"/>
      <c r="D104" s="210"/>
      <c r="F104" s="508"/>
      <c r="G104" s="176"/>
      <c r="H104" s="211"/>
      <c r="I104" s="9"/>
      <c r="J104" s="321"/>
      <c r="K104" s="210"/>
      <c r="L104" s="83"/>
      <c r="M104" s="83"/>
      <c r="N104" s="83"/>
      <c r="O104" s="83"/>
      <c r="P104" s="83"/>
      <c r="Q104" s="211"/>
      <c r="R104" s="36"/>
      <c r="S104" s="36"/>
      <c r="T104" s="36"/>
      <c r="U104" s="36"/>
      <c r="V104" s="36"/>
      <c r="W104" s="36"/>
      <c r="X104" s="36"/>
      <c r="Y104" s="36"/>
      <c r="Z104" s="36"/>
      <c r="AA104" s="36"/>
      <c r="AB104" s="36"/>
      <c r="AC104" s="36"/>
      <c r="AD104" s="36"/>
      <c r="AE104" s="36"/>
      <c r="AF104" s="36"/>
      <c r="AG104" s="36"/>
      <c r="AH104" s="36"/>
      <c r="AI104" s="36"/>
    </row>
    <row r="105" spans="1:35" s="25" customFormat="1" ht="12" x14ac:dyDescent="0.2">
      <c r="A105" s="13" t="s">
        <v>173</v>
      </c>
      <c r="B105" s="16">
        <v>4</v>
      </c>
      <c r="C105" s="15"/>
      <c r="D105" s="210"/>
      <c r="F105" s="508"/>
      <c r="G105" s="176"/>
      <c r="H105" s="211"/>
      <c r="I105" s="9"/>
      <c r="J105" s="321"/>
      <c r="K105" s="210"/>
      <c r="L105" s="289"/>
      <c r="M105" s="83"/>
      <c r="N105" s="83"/>
      <c r="O105" s="83"/>
      <c r="P105" s="83"/>
      <c r="Q105" s="211"/>
      <c r="R105" s="36"/>
      <c r="S105" s="36"/>
      <c r="T105" s="36"/>
      <c r="U105" s="36"/>
      <c r="V105" s="36"/>
      <c r="W105" s="36"/>
      <c r="X105" s="36"/>
      <c r="Y105" s="36"/>
      <c r="Z105" s="36"/>
      <c r="AA105" s="36"/>
      <c r="AB105" s="36"/>
      <c r="AC105" s="36"/>
      <c r="AD105" s="36"/>
      <c r="AE105" s="36"/>
      <c r="AF105" s="36"/>
      <c r="AG105" s="36"/>
      <c r="AH105" s="36"/>
      <c r="AI105" s="36"/>
    </row>
    <row r="106" spans="1:35" s="25" customFormat="1" ht="12" x14ac:dyDescent="0.2">
      <c r="A106" s="13" t="s">
        <v>174</v>
      </c>
      <c r="B106" s="16">
        <v>8</v>
      </c>
      <c r="C106" s="15"/>
      <c r="D106" s="210"/>
      <c r="F106" s="508"/>
      <c r="G106" s="176"/>
      <c r="H106" s="199"/>
      <c r="I106" s="19"/>
      <c r="J106" s="321"/>
      <c r="K106" s="210"/>
      <c r="L106" s="83"/>
      <c r="M106" s="83"/>
      <c r="N106" s="83"/>
      <c r="O106" s="83"/>
      <c r="P106" s="289"/>
      <c r="Q106" s="211"/>
      <c r="R106" s="36"/>
      <c r="S106" s="36"/>
      <c r="T106" s="36"/>
      <c r="U106" s="36"/>
      <c r="V106" s="36"/>
      <c r="W106" s="36"/>
      <c r="X106" s="36"/>
      <c r="Y106" s="36"/>
      <c r="Z106" s="36"/>
      <c r="AA106" s="36"/>
      <c r="AB106" s="36"/>
      <c r="AC106" s="36"/>
      <c r="AD106" s="36"/>
      <c r="AE106" s="36"/>
      <c r="AF106" s="36"/>
      <c r="AG106" s="36"/>
      <c r="AH106" s="36"/>
      <c r="AI106" s="36"/>
    </row>
    <row r="107" spans="1:35" s="25" customFormat="1" ht="12" x14ac:dyDescent="0.2">
      <c r="A107" s="13" t="s">
        <v>175</v>
      </c>
      <c r="B107" s="20">
        <v>16</v>
      </c>
      <c r="C107" s="15"/>
      <c r="D107" s="210"/>
      <c r="F107" s="508"/>
      <c r="G107" s="176"/>
      <c r="H107" s="199"/>
      <c r="I107" s="211"/>
      <c r="J107" s="321"/>
      <c r="K107" s="210"/>
      <c r="L107" s="83"/>
      <c r="M107" s="83"/>
      <c r="N107" s="83"/>
      <c r="O107" s="83"/>
      <c r="P107" s="83"/>
      <c r="Q107" s="211"/>
      <c r="R107" s="36"/>
      <c r="S107" s="36"/>
      <c r="T107" s="36"/>
      <c r="U107" s="36"/>
      <c r="V107" s="36"/>
      <c r="W107" s="36"/>
      <c r="X107" s="36"/>
      <c r="Y107" s="36"/>
      <c r="Z107" s="36"/>
      <c r="AA107" s="36"/>
      <c r="AB107" s="36"/>
      <c r="AC107" s="36"/>
      <c r="AD107" s="36"/>
      <c r="AE107" s="36"/>
      <c r="AF107" s="36"/>
      <c r="AG107" s="36"/>
      <c r="AH107" s="36"/>
      <c r="AI107" s="36"/>
    </row>
    <row r="108" spans="1:35" s="25" customFormat="1" ht="12" x14ac:dyDescent="0.2">
      <c r="A108" s="203" t="s">
        <v>176</v>
      </c>
      <c r="B108" s="20">
        <v>4</v>
      </c>
      <c r="C108" s="15"/>
      <c r="D108" s="210"/>
      <c r="F108" s="508"/>
      <c r="G108" s="176"/>
      <c r="H108" s="211"/>
      <c r="I108" s="211"/>
      <c r="J108" s="321"/>
      <c r="K108" s="210"/>
      <c r="L108" s="83"/>
      <c r="M108" s="83"/>
      <c r="N108" s="83"/>
      <c r="O108" s="83"/>
      <c r="P108" s="83"/>
      <c r="Q108" s="211"/>
      <c r="R108" s="36"/>
      <c r="S108" s="36"/>
      <c r="T108" s="36"/>
      <c r="U108" s="36"/>
      <c r="V108" s="36"/>
      <c r="W108" s="36"/>
      <c r="X108" s="36"/>
      <c r="Y108" s="36"/>
      <c r="Z108" s="36"/>
      <c r="AA108" s="36"/>
      <c r="AB108" s="36"/>
      <c r="AC108" s="36"/>
      <c r="AD108" s="36"/>
      <c r="AE108" s="36"/>
      <c r="AF108" s="36"/>
      <c r="AG108" s="36"/>
      <c r="AH108" s="36"/>
      <c r="AI108" s="36"/>
    </row>
    <row r="109" spans="1:35" s="25" customFormat="1" ht="12" x14ac:dyDescent="0.2">
      <c r="A109" s="203" t="s">
        <v>177</v>
      </c>
      <c r="B109" s="20">
        <v>1</v>
      </c>
      <c r="C109" s="15"/>
      <c r="D109" s="210"/>
      <c r="F109" s="261"/>
      <c r="H109" s="211"/>
      <c r="I109" s="211"/>
      <c r="J109" s="321"/>
      <c r="K109" s="210"/>
      <c r="L109" s="83"/>
      <c r="M109" s="83"/>
      <c r="N109" s="83"/>
      <c r="O109" s="83"/>
      <c r="P109" s="83"/>
      <c r="Q109" s="211"/>
      <c r="R109" s="36"/>
      <c r="S109" s="36"/>
      <c r="T109" s="36"/>
      <c r="U109" s="36"/>
      <c r="V109" s="36"/>
      <c r="W109" s="36"/>
      <c r="X109" s="36"/>
      <c r="Y109" s="36"/>
      <c r="Z109" s="36"/>
      <c r="AA109" s="36"/>
      <c r="AB109" s="36"/>
      <c r="AC109" s="36"/>
      <c r="AD109" s="36"/>
      <c r="AE109" s="36"/>
      <c r="AF109" s="36"/>
      <c r="AG109" s="36"/>
      <c r="AH109" s="36"/>
      <c r="AI109" s="36"/>
    </row>
    <row r="110" spans="1:35" s="25" customFormat="1" thickBot="1" x14ac:dyDescent="0.25">
      <c r="A110" s="207" t="s">
        <v>178</v>
      </c>
      <c r="B110" s="377">
        <v>4</v>
      </c>
      <c r="C110" s="15"/>
      <c r="D110" s="210"/>
      <c r="E110" s="211"/>
      <c r="H110" s="198"/>
      <c r="I110" s="211"/>
      <c r="J110" s="321"/>
      <c r="K110" s="210"/>
      <c r="L110" s="83"/>
      <c r="M110" s="83"/>
      <c r="N110" s="83"/>
      <c r="O110" s="83"/>
      <c r="P110" s="83"/>
      <c r="Q110" s="211"/>
      <c r="R110" s="36"/>
      <c r="S110" s="36"/>
      <c r="T110" s="36"/>
      <c r="U110" s="36"/>
      <c r="V110" s="36"/>
      <c r="W110" s="36"/>
      <c r="X110" s="36"/>
      <c r="Y110" s="36"/>
      <c r="Z110" s="36"/>
      <c r="AA110" s="36"/>
      <c r="AB110" s="36"/>
      <c r="AC110" s="36"/>
      <c r="AD110" s="36"/>
      <c r="AE110" s="36"/>
      <c r="AF110" s="36"/>
      <c r="AG110" s="36"/>
      <c r="AH110" s="36"/>
      <c r="AI110" s="36"/>
    </row>
    <row r="111" spans="1:35" s="25" customFormat="1" thickBot="1" x14ac:dyDescent="0.25">
      <c r="D111" s="240"/>
      <c r="F111" s="5"/>
      <c r="G111" s="211"/>
      <c r="I111" s="211"/>
      <c r="J111" s="321"/>
      <c r="K111" s="210"/>
      <c r="L111" s="83"/>
      <c r="M111" s="83"/>
      <c r="N111" s="83"/>
      <c r="O111" s="83"/>
      <c r="P111" s="83"/>
      <c r="Q111" s="211"/>
      <c r="R111" s="36"/>
      <c r="S111" s="36"/>
      <c r="T111" s="36"/>
      <c r="U111" s="36"/>
      <c r="V111" s="36"/>
      <c r="W111" s="36"/>
      <c r="X111" s="36"/>
      <c r="Y111" s="36"/>
      <c r="Z111" s="36"/>
      <c r="AA111" s="36"/>
      <c r="AB111" s="36"/>
      <c r="AC111" s="36"/>
      <c r="AD111" s="36"/>
      <c r="AE111" s="36"/>
      <c r="AF111" s="36"/>
      <c r="AG111" s="36"/>
      <c r="AH111" s="36"/>
      <c r="AI111" s="36"/>
    </row>
    <row r="112" spans="1:35" s="25" customFormat="1" thickBot="1" x14ac:dyDescent="0.25">
      <c r="A112" s="673" t="s">
        <v>179</v>
      </c>
      <c r="B112" s="674"/>
      <c r="C112" s="674"/>
      <c r="D112" s="674"/>
      <c r="E112" s="674"/>
      <c r="F112" s="675"/>
      <c r="G112" s="211"/>
      <c r="I112" s="211"/>
      <c r="L112" s="83"/>
      <c r="M112" s="83"/>
      <c r="N112" s="83"/>
      <c r="O112" s="83"/>
      <c r="P112" s="83"/>
      <c r="Q112" s="211"/>
      <c r="R112" s="36"/>
      <c r="S112" s="36"/>
      <c r="T112" s="36"/>
      <c r="U112" s="36"/>
      <c r="V112" s="36"/>
      <c r="W112" s="36"/>
      <c r="X112" s="36"/>
      <c r="Y112" s="36"/>
      <c r="Z112" s="36"/>
      <c r="AA112" s="36"/>
      <c r="AB112" s="36"/>
      <c r="AC112" s="36"/>
      <c r="AD112" s="36"/>
      <c r="AE112" s="36"/>
      <c r="AF112" s="36"/>
      <c r="AG112" s="36"/>
      <c r="AH112" s="36"/>
      <c r="AI112" s="36"/>
    </row>
    <row r="113" spans="1:35" s="25" customFormat="1" ht="12" x14ac:dyDescent="0.2">
      <c r="A113" s="84" t="s">
        <v>180</v>
      </c>
      <c r="B113" s="244" t="s">
        <v>181</v>
      </c>
      <c r="C113" s="244" t="s">
        <v>181</v>
      </c>
      <c r="D113" s="244" t="s">
        <v>181</v>
      </c>
      <c r="E113" s="85"/>
      <c r="F113" s="88" t="s">
        <v>181</v>
      </c>
      <c r="G113" s="211"/>
      <c r="H113" s="211"/>
      <c r="L113" s="83"/>
      <c r="M113" s="83"/>
      <c r="N113" s="83"/>
      <c r="O113" s="83"/>
      <c r="P113" s="83"/>
      <c r="Q113" s="211"/>
      <c r="R113" s="36"/>
      <c r="S113" s="36"/>
      <c r="T113" s="36"/>
      <c r="U113" s="36"/>
      <c r="V113" s="36"/>
      <c r="W113" s="36"/>
      <c r="X113" s="36"/>
      <c r="Y113" s="36"/>
      <c r="Z113" s="36"/>
      <c r="AA113" s="36"/>
      <c r="AB113" s="36"/>
      <c r="AC113" s="36"/>
      <c r="AD113" s="36"/>
      <c r="AE113" s="36"/>
      <c r="AF113" s="36"/>
      <c r="AG113" s="36"/>
      <c r="AH113" s="36"/>
      <c r="AI113" s="36"/>
    </row>
    <row r="114" spans="1:35" s="25" customFormat="1" ht="13.5" customHeight="1" thickBot="1" x14ac:dyDescent="0.25">
      <c r="A114" s="86" t="s">
        <v>182</v>
      </c>
      <c r="B114" s="269"/>
      <c r="C114" s="269"/>
      <c r="D114" s="150"/>
      <c r="E114" s="87" t="s">
        <v>181</v>
      </c>
      <c r="F114" s="89"/>
      <c r="G114" s="211"/>
      <c r="H114" s="211"/>
      <c r="L114" s="83"/>
      <c r="M114" s="83"/>
      <c r="N114" s="83"/>
      <c r="O114" s="83"/>
      <c r="P114" s="83"/>
      <c r="Q114" s="211"/>
      <c r="R114" s="36"/>
      <c r="S114" s="36"/>
      <c r="T114" s="36"/>
      <c r="U114" s="36"/>
      <c r="V114" s="36"/>
      <c r="W114" s="36"/>
      <c r="X114" s="36"/>
      <c r="Y114" s="36"/>
      <c r="Z114" s="36"/>
      <c r="AA114" s="36"/>
      <c r="AB114" s="36"/>
      <c r="AC114" s="36"/>
      <c r="AD114" s="36"/>
      <c r="AE114" s="36"/>
      <c r="AF114" s="36"/>
      <c r="AG114" s="36"/>
      <c r="AH114" s="36"/>
      <c r="AI114" s="36"/>
    </row>
    <row r="115" spans="1:35" s="25" customFormat="1" ht="13.5" thickBot="1" x14ac:dyDescent="0.25">
      <c r="A115" s="105"/>
      <c r="B115" s="105"/>
      <c r="C115" s="105"/>
      <c r="D115" s="657"/>
      <c r="E115" s="105"/>
      <c r="F115" s="105"/>
      <c r="G115" s="211"/>
      <c r="H115" s="211"/>
      <c r="L115" s="83"/>
      <c r="M115" s="83"/>
      <c r="N115" s="83"/>
      <c r="O115" s="83"/>
      <c r="P115" s="83"/>
      <c r="Q115" s="211"/>
      <c r="R115" s="36"/>
      <c r="S115" s="36"/>
      <c r="T115" s="36"/>
      <c r="U115" s="36"/>
      <c r="V115" s="36"/>
      <c r="W115" s="36"/>
      <c r="X115" s="36"/>
      <c r="Y115" s="36"/>
      <c r="Z115" s="36"/>
      <c r="AA115" s="36"/>
      <c r="AB115" s="36"/>
      <c r="AC115" s="36"/>
      <c r="AD115" s="36"/>
      <c r="AE115" s="36"/>
      <c r="AF115" s="36"/>
      <c r="AG115" s="36"/>
      <c r="AH115" s="36"/>
      <c r="AI115" s="36"/>
    </row>
    <row r="116" spans="1:35" ht="13.5" thickBot="1" x14ac:dyDescent="0.25">
      <c r="A116" s="334" t="s">
        <v>183</v>
      </c>
      <c r="B116" s="660" t="s">
        <v>184</v>
      </c>
      <c r="C116" s="661"/>
      <c r="D116" s="662" t="s">
        <v>185</v>
      </c>
      <c r="E116" s="663"/>
      <c r="F116" s="664" t="s">
        <v>186</v>
      </c>
      <c r="G116" s="665"/>
      <c r="H116" s="211"/>
      <c r="I116" s="25"/>
      <c r="Q116" s="211"/>
    </row>
    <row r="117" spans="1:35" x14ac:dyDescent="0.2">
      <c r="A117" s="335" t="s">
        <v>187</v>
      </c>
      <c r="B117" s="336"/>
      <c r="C117" s="337"/>
      <c r="D117" s="337"/>
      <c r="E117" s="337"/>
      <c r="F117" s="337"/>
      <c r="G117" s="338"/>
      <c r="H117" s="211"/>
      <c r="I117" s="25"/>
    </row>
    <row r="118" spans="1:35" x14ac:dyDescent="0.2">
      <c r="A118" s="339" t="s">
        <v>188</v>
      </c>
      <c r="B118" s="340">
        <v>4</v>
      </c>
      <c r="C118" s="340"/>
      <c r="D118" s="341">
        <v>3</v>
      </c>
      <c r="E118" s="341">
        <v>2</v>
      </c>
      <c r="F118" s="342">
        <v>1</v>
      </c>
      <c r="G118" s="343">
        <v>0</v>
      </c>
      <c r="H118" s="211"/>
      <c r="J118" s="476" t="s">
        <v>189</v>
      </c>
    </row>
    <row r="119" spans="1:35" x14ac:dyDescent="0.2">
      <c r="A119" s="339" t="s">
        <v>190</v>
      </c>
      <c r="B119" s="344">
        <v>4</v>
      </c>
      <c r="C119" s="345">
        <v>3</v>
      </c>
      <c r="D119" s="346"/>
      <c r="E119" s="346">
        <v>2</v>
      </c>
      <c r="F119" s="342">
        <v>1</v>
      </c>
      <c r="G119" s="348">
        <v>0</v>
      </c>
      <c r="H119" s="216"/>
      <c r="J119" s="113" t="s">
        <v>52</v>
      </c>
    </row>
    <row r="120" spans="1:35" x14ac:dyDescent="0.2">
      <c r="A120" s="349" t="s">
        <v>124</v>
      </c>
      <c r="B120" s="350"/>
      <c r="C120" s="351"/>
      <c r="D120" s="351"/>
      <c r="E120" s="351"/>
      <c r="F120" s="351"/>
      <c r="G120" s="352"/>
      <c r="H120" s="216"/>
    </row>
    <row r="121" spans="1:35" x14ac:dyDescent="0.2">
      <c r="A121" s="339" t="str">
        <f t="shared" ref="A121:A128" si="20">A39</f>
        <v>Ready MH-53E SAR/MEDEVAC Mission Systems (C)</v>
      </c>
      <c r="B121" s="353">
        <v>4</v>
      </c>
      <c r="C121" s="353">
        <v>3</v>
      </c>
      <c r="D121" s="354">
        <v>2</v>
      </c>
      <c r="E121" s="346"/>
      <c r="F121" s="355">
        <v>1</v>
      </c>
      <c r="G121" s="356">
        <v>0</v>
      </c>
      <c r="H121" s="216"/>
    </row>
    <row r="122" spans="1:35" x14ac:dyDescent="0.2">
      <c r="A122" s="339" t="str">
        <f t="shared" si="20"/>
        <v>Ready MH-53E Logistics Support Mission Systems (D)</v>
      </c>
      <c r="B122" s="340">
        <v>4</v>
      </c>
      <c r="C122" s="353">
        <v>3</v>
      </c>
      <c r="D122" s="341">
        <v>2</v>
      </c>
      <c r="E122" s="346"/>
      <c r="F122" s="355">
        <v>1</v>
      </c>
      <c r="G122" s="356">
        <v>0</v>
      </c>
      <c r="H122" s="216"/>
    </row>
    <row r="123" spans="1:35" x14ac:dyDescent="0.2">
      <c r="A123" s="339" t="str">
        <f t="shared" si="20"/>
        <v>Ready MH-53E Expanded Mobility Mission Systems (E)</v>
      </c>
      <c r="B123" s="340">
        <v>4</v>
      </c>
      <c r="C123" s="353">
        <v>3</v>
      </c>
      <c r="D123" s="341">
        <v>2</v>
      </c>
      <c r="E123" s="346"/>
      <c r="F123" s="355">
        <v>1</v>
      </c>
      <c r="G123" s="356">
        <v>0</v>
      </c>
      <c r="H123" s="216"/>
    </row>
    <row r="124" spans="1:35" x14ac:dyDescent="0.2">
      <c r="A124" s="339" t="str">
        <f t="shared" si="20"/>
        <v>Ready MH-53E SUW and Special Warfare Mission Systems (F)</v>
      </c>
      <c r="B124" s="340">
        <v>4</v>
      </c>
      <c r="C124" s="353">
        <v>3</v>
      </c>
      <c r="D124" s="341">
        <v>2</v>
      </c>
      <c r="E124" s="346"/>
      <c r="F124" s="355">
        <v>1</v>
      </c>
      <c r="G124" s="356">
        <v>0</v>
      </c>
      <c r="H124" s="216"/>
    </row>
    <row r="125" spans="1:35" x14ac:dyDescent="0.2">
      <c r="A125" s="339" t="str">
        <f t="shared" si="20"/>
        <v>Ready MH-53E Real-Time Diagnostics and Fault Monitoring Systems (I)</v>
      </c>
      <c r="B125" s="340">
        <v>4</v>
      </c>
      <c r="C125" s="353">
        <v>3</v>
      </c>
      <c r="D125" s="341">
        <v>2</v>
      </c>
      <c r="E125" s="346"/>
      <c r="F125" s="355">
        <v>1</v>
      </c>
      <c r="G125" s="343">
        <v>0</v>
      </c>
      <c r="H125" s="216"/>
    </row>
    <row r="126" spans="1:35" x14ac:dyDescent="0.2">
      <c r="A126" s="339" t="str">
        <f t="shared" si="20"/>
        <v>Ready MH-53E Airborne Mine Counter Measures Mission (AMCM) Systems (J)</v>
      </c>
      <c r="B126" s="344">
        <v>4</v>
      </c>
      <c r="C126" s="353">
        <v>3</v>
      </c>
      <c r="D126" s="346">
        <v>2</v>
      </c>
      <c r="E126" s="346"/>
      <c r="F126" s="355">
        <v>1</v>
      </c>
      <c r="G126" s="348">
        <v>0</v>
      </c>
      <c r="H126" s="216"/>
    </row>
    <row r="127" spans="1:35" x14ac:dyDescent="0.2">
      <c r="A127" s="339" t="str">
        <f t="shared" si="20"/>
        <v>Ready MH-53E Shipboard Mission Systems (K)</v>
      </c>
      <c r="B127" s="344">
        <v>4</v>
      </c>
      <c r="C127" s="353">
        <v>3</v>
      </c>
      <c r="D127" s="346">
        <v>2</v>
      </c>
      <c r="E127" s="346"/>
      <c r="F127" s="355">
        <v>1</v>
      </c>
      <c r="G127" s="348">
        <v>0</v>
      </c>
      <c r="H127" s="216"/>
    </row>
    <row r="128" spans="1:35" x14ac:dyDescent="0.2">
      <c r="A128" s="339" t="str">
        <f t="shared" si="20"/>
        <v>Ready MH-53E IMC Flight Mission Systems (L)</v>
      </c>
      <c r="B128" s="344">
        <v>4</v>
      </c>
      <c r="C128" s="353">
        <v>3</v>
      </c>
      <c r="D128" s="346">
        <v>2</v>
      </c>
      <c r="E128" s="346"/>
      <c r="F128" s="355">
        <v>1</v>
      </c>
      <c r="G128" s="348">
        <v>0</v>
      </c>
      <c r="H128" s="216"/>
    </row>
    <row r="129" spans="1:7" x14ac:dyDescent="0.2">
      <c r="A129" s="357" t="s">
        <v>133</v>
      </c>
      <c r="B129" s="350"/>
      <c r="C129" s="351"/>
      <c r="D129" s="351"/>
      <c r="E129" s="351"/>
      <c r="F129" s="351"/>
      <c r="G129" s="352"/>
    </row>
    <row r="130" spans="1:7" x14ac:dyDescent="0.2">
      <c r="A130" s="339" t="str">
        <f t="shared" ref="A130:A141" si="21">A48</f>
        <v>Assigned Guns Sets</v>
      </c>
      <c r="B130" s="344">
        <v>8</v>
      </c>
      <c r="C130" s="340"/>
      <c r="D130" s="346">
        <v>7</v>
      </c>
      <c r="E130" s="346">
        <v>6</v>
      </c>
      <c r="F130" s="347">
        <v>5</v>
      </c>
      <c r="G130" s="348">
        <v>0</v>
      </c>
    </row>
    <row r="131" spans="1:7" x14ac:dyDescent="0.2">
      <c r="A131" s="339" t="str">
        <f t="shared" si="21"/>
        <v>Ready Guns Sets</v>
      </c>
      <c r="B131" s="344">
        <v>8</v>
      </c>
      <c r="C131" s="340">
        <v>6</v>
      </c>
      <c r="D131" s="346">
        <v>5</v>
      </c>
      <c r="E131" s="346">
        <v>3</v>
      </c>
      <c r="F131" s="347">
        <v>2</v>
      </c>
      <c r="G131" s="348">
        <v>0</v>
      </c>
    </row>
    <row r="132" spans="1:7" x14ac:dyDescent="0.2">
      <c r="A132" s="339" t="str">
        <f t="shared" si="21"/>
        <v>Assigned MK 103 Sets</v>
      </c>
      <c r="B132" s="344">
        <v>4</v>
      </c>
      <c r="C132" s="340"/>
      <c r="D132" s="346">
        <v>3</v>
      </c>
      <c r="E132" s="346"/>
      <c r="F132" s="347">
        <v>2</v>
      </c>
      <c r="G132" s="348">
        <v>0</v>
      </c>
    </row>
    <row r="133" spans="1:7" x14ac:dyDescent="0.2">
      <c r="A133" s="339" t="str">
        <f t="shared" si="21"/>
        <v>Ready MK 103 Sets</v>
      </c>
      <c r="B133" s="344">
        <v>4</v>
      </c>
      <c r="C133" s="340">
        <v>3</v>
      </c>
      <c r="D133" s="346">
        <v>2</v>
      </c>
      <c r="E133" s="346"/>
      <c r="F133" s="347">
        <v>1</v>
      </c>
      <c r="G133" s="348">
        <v>0</v>
      </c>
    </row>
    <row r="134" spans="1:7" x14ac:dyDescent="0.2">
      <c r="A134" s="339" t="str">
        <f t="shared" si="21"/>
        <v>Assigned MK 104 Sets</v>
      </c>
      <c r="B134" s="344">
        <v>2</v>
      </c>
      <c r="C134" s="340"/>
      <c r="D134" s="346">
        <v>1</v>
      </c>
      <c r="E134" s="346"/>
      <c r="F134" s="347"/>
      <c r="G134" s="348">
        <v>0</v>
      </c>
    </row>
    <row r="135" spans="1:7" x14ac:dyDescent="0.2">
      <c r="A135" s="339" t="str">
        <f t="shared" si="21"/>
        <v>Ready MK 104 Sets</v>
      </c>
      <c r="B135" s="344">
        <v>2</v>
      </c>
      <c r="C135" s="340">
        <v>1</v>
      </c>
      <c r="D135" s="346"/>
      <c r="E135" s="346"/>
      <c r="F135" s="347"/>
      <c r="G135" s="348">
        <v>0</v>
      </c>
    </row>
    <row r="136" spans="1:7" x14ac:dyDescent="0.2">
      <c r="A136" s="339" t="str">
        <f t="shared" si="21"/>
        <v>Assigned MK 105 Sets</v>
      </c>
      <c r="B136" s="344">
        <v>3</v>
      </c>
      <c r="C136" s="340"/>
      <c r="D136" s="346">
        <v>2</v>
      </c>
      <c r="E136" s="346"/>
      <c r="F136" s="347">
        <v>1</v>
      </c>
      <c r="G136" s="348">
        <v>0</v>
      </c>
    </row>
    <row r="137" spans="1:7" x14ac:dyDescent="0.2">
      <c r="A137" s="339" t="str">
        <f t="shared" si="21"/>
        <v>Ready MK 105 Sets</v>
      </c>
      <c r="B137" s="344">
        <v>3</v>
      </c>
      <c r="C137" s="340">
        <v>2</v>
      </c>
      <c r="D137" s="346">
        <v>1</v>
      </c>
      <c r="E137" s="346"/>
      <c r="F137" s="347"/>
      <c r="G137" s="348">
        <v>0</v>
      </c>
    </row>
    <row r="138" spans="1:7" x14ac:dyDescent="0.2">
      <c r="A138" s="339" t="str">
        <f t="shared" si="21"/>
        <v>Assigned Q24 Sets</v>
      </c>
      <c r="B138" s="344">
        <v>4</v>
      </c>
      <c r="C138" s="340"/>
      <c r="D138" s="346">
        <v>3</v>
      </c>
      <c r="E138" s="346"/>
      <c r="F138" s="347">
        <v>2</v>
      </c>
      <c r="G138" s="348">
        <v>0</v>
      </c>
    </row>
    <row r="139" spans="1:7" x14ac:dyDescent="0.2">
      <c r="A139" s="339" t="str">
        <f t="shared" si="21"/>
        <v>Ready Q24 Sets</v>
      </c>
      <c r="B139" s="344">
        <v>4</v>
      </c>
      <c r="C139" s="340">
        <v>3</v>
      </c>
      <c r="D139" s="346">
        <v>2</v>
      </c>
      <c r="E139" s="346"/>
      <c r="F139" s="347">
        <v>1</v>
      </c>
      <c r="G139" s="348">
        <v>0</v>
      </c>
    </row>
    <row r="140" spans="1:7" x14ac:dyDescent="0.2">
      <c r="A140" s="339" t="str">
        <f t="shared" si="21"/>
        <v>Assigned MOP Sets</v>
      </c>
      <c r="B140" s="344">
        <v>2</v>
      </c>
      <c r="C140" s="340"/>
      <c r="D140" s="346">
        <v>1</v>
      </c>
      <c r="E140" s="346"/>
      <c r="F140" s="347"/>
      <c r="G140" s="348">
        <v>0</v>
      </c>
    </row>
    <row r="141" spans="1:7" ht="13.5" thickBot="1" x14ac:dyDescent="0.25">
      <c r="A141" s="358" t="str">
        <f t="shared" si="21"/>
        <v>Ready MOP Sets</v>
      </c>
      <c r="B141" s="362">
        <v>2</v>
      </c>
      <c r="C141" s="362">
        <v>1</v>
      </c>
      <c r="D141" s="359"/>
      <c r="E141" s="359"/>
      <c r="F141" s="360"/>
      <c r="G141" s="361">
        <v>0</v>
      </c>
    </row>
    <row r="142" spans="1:7" x14ac:dyDescent="0.2">
      <c r="A142"/>
      <c r="B142"/>
      <c r="C142"/>
      <c r="D142" s="181"/>
      <c r="E142" s="181"/>
      <c r="F142" s="181"/>
      <c r="G142" s="181"/>
    </row>
    <row r="144" spans="1:7" x14ac:dyDescent="0.2">
      <c r="A144" s="529" t="s">
        <v>191</v>
      </c>
      <c r="B144" s="529" t="s">
        <v>196</v>
      </c>
      <c r="D144" s="657"/>
    </row>
    <row r="145" spans="1:2" x14ac:dyDescent="0.2">
      <c r="A145" s="545" t="s">
        <v>193</v>
      </c>
      <c r="B145" s="530">
        <f>HLOOKUP($B$144,'MH-53E Mission System Summary'!$B$1:$F$12,2,FALSE)</f>
        <v>0.47562377831436131</v>
      </c>
    </row>
    <row r="146" spans="1:2" x14ac:dyDescent="0.2">
      <c r="A146" s="522" t="s">
        <v>125</v>
      </c>
      <c r="B146" s="530">
        <f>HLOOKUP($B$144,'MH-53E Mission System Summary'!$B$1:$F$12,3,FALSE)</f>
        <v>0.1843451764976429</v>
      </c>
    </row>
    <row r="147" spans="1:2" x14ac:dyDescent="0.2">
      <c r="A147" s="522" t="s">
        <v>126</v>
      </c>
      <c r="B147" s="530">
        <f>HLOOKUP($B$144,'MH-53E Mission System Summary'!$B$1:$F$12,4,FALSE)</f>
        <v>0.17296194089916064</v>
      </c>
    </row>
    <row r="148" spans="1:2" x14ac:dyDescent="0.2">
      <c r="A148" s="522" t="s">
        <v>127</v>
      </c>
      <c r="B148" s="530">
        <f>HLOOKUP($B$144,'MH-53E Mission System Summary'!$B$1:$F$12,5,FALSE)</f>
        <v>0.20774404967230081</v>
      </c>
    </row>
    <row r="149" spans="1:2" x14ac:dyDescent="0.2">
      <c r="A149" s="525" t="s">
        <v>128</v>
      </c>
      <c r="B149" s="530">
        <f>HLOOKUP($B$144,'MH-53E Mission System Summary'!$B$1:$F$12,6,FALSE)</f>
        <v>0</v>
      </c>
    </row>
    <row r="150" spans="1:2" x14ac:dyDescent="0.2">
      <c r="A150" s="522" t="s">
        <v>129</v>
      </c>
      <c r="B150" s="530">
        <f>HLOOKUP($B$144,'MH-53E Mission System Summary'!$B$1:$F$12,7,FALSE)</f>
        <v>0</v>
      </c>
    </row>
    <row r="151" spans="1:2" x14ac:dyDescent="0.2">
      <c r="A151" s="522" t="s">
        <v>130</v>
      </c>
      <c r="B151" s="530">
        <f>HLOOKUP($B$144,'MH-53E Mission System Summary'!$B$1:$F$12,8,FALSE)</f>
        <v>0.18466137748648959</v>
      </c>
    </row>
    <row r="152" spans="1:2" x14ac:dyDescent="0.2">
      <c r="A152" s="522" t="s">
        <v>131</v>
      </c>
      <c r="B152" s="530">
        <f>HLOOKUP($B$144,'MH-53E Mission System Summary'!$B$1:$F$12,9,FALSE)</f>
        <v>0.21912728527078304</v>
      </c>
    </row>
    <row r="153" spans="1:2" x14ac:dyDescent="0.2">
      <c r="A153" s="522" t="s">
        <v>132</v>
      </c>
      <c r="B153" s="530">
        <f>HLOOKUP($B$144,'MH-53E Mission System Summary'!$B$1:$F$12,10,FALSE)</f>
        <v>1</v>
      </c>
    </row>
  </sheetData>
  <mergeCells count="9">
    <mergeCell ref="B116:C116"/>
    <mergeCell ref="D116:E116"/>
    <mergeCell ref="F116:G116"/>
    <mergeCell ref="A1:C1"/>
    <mergeCell ref="A112:F112"/>
    <mergeCell ref="A84:F84"/>
    <mergeCell ref="M17:P17"/>
    <mergeCell ref="M49:N49"/>
    <mergeCell ref="M29:Q29"/>
  </mergeCells>
  <phoneticPr fontId="0" type="noConversion"/>
  <conditionalFormatting sqref="C131:C133 C118:C128">
    <cfRule type="cellIs" dxfId="137" priority="33" operator="equal">
      <formula>B118</formula>
    </cfRule>
  </conditionalFormatting>
  <conditionalFormatting sqref="D131:E133 D118:E128">
    <cfRule type="cellIs" dxfId="136" priority="32" operator="equal">
      <formula>C118</formula>
    </cfRule>
  </conditionalFormatting>
  <conditionalFormatting sqref="E118">
    <cfRule type="cellIs" dxfId="135" priority="31" operator="equal">
      <formula>D118</formula>
    </cfRule>
  </conditionalFormatting>
  <conditionalFormatting sqref="F118">
    <cfRule type="cellIs" dxfId="134" priority="30" operator="equal">
      <formula>E118</formula>
    </cfRule>
  </conditionalFormatting>
  <conditionalFormatting sqref="C118:C128">
    <cfRule type="cellIs" dxfId="133" priority="27" operator="equal">
      <formula>B118</formula>
    </cfRule>
  </conditionalFormatting>
  <conditionalFormatting sqref="D118:E128">
    <cfRule type="cellIs" dxfId="132" priority="26" operator="equal">
      <formula>C118</formula>
    </cfRule>
  </conditionalFormatting>
  <conditionalFormatting sqref="E118">
    <cfRule type="cellIs" dxfId="131" priority="25" operator="equal">
      <formula>D118</formula>
    </cfRule>
  </conditionalFormatting>
  <conditionalFormatting sqref="F118">
    <cfRule type="cellIs" dxfId="130" priority="24" operator="equal">
      <formula>E118</formula>
    </cfRule>
  </conditionalFormatting>
  <conditionalFormatting sqref="F118">
    <cfRule type="cellIs" dxfId="129" priority="21" operator="equal">
      <formula>E118</formula>
    </cfRule>
  </conditionalFormatting>
  <conditionalFormatting sqref="C118">
    <cfRule type="cellIs" dxfId="128" priority="20" operator="equal">
      <formula>B118</formula>
    </cfRule>
  </conditionalFormatting>
  <conditionalFormatting sqref="D118">
    <cfRule type="cellIs" dxfId="127" priority="19" operator="equal">
      <formula>C118</formula>
    </cfRule>
  </conditionalFormatting>
  <conditionalFormatting sqref="E118">
    <cfRule type="cellIs" dxfId="126" priority="18" operator="equal">
      <formula>D118</formula>
    </cfRule>
  </conditionalFormatting>
  <conditionalFormatting sqref="D118">
    <cfRule type="cellIs" dxfId="125" priority="17" operator="equal">
      <formula>C118</formula>
    </cfRule>
  </conditionalFormatting>
  <conditionalFormatting sqref="E118">
    <cfRule type="cellIs" dxfId="124" priority="16" operator="equal">
      <formula>D118</formula>
    </cfRule>
  </conditionalFormatting>
  <conditionalFormatting sqref="C130:C141">
    <cfRule type="cellIs" dxfId="123" priority="15" operator="equal">
      <formula>B130</formula>
    </cfRule>
  </conditionalFormatting>
  <conditionalFormatting sqref="D130:E141">
    <cfRule type="cellIs" dxfId="122" priority="14" operator="equal">
      <formula>C130</formula>
    </cfRule>
  </conditionalFormatting>
  <conditionalFormatting sqref="F130:F141">
    <cfRule type="cellIs" dxfId="121" priority="12" operator="equal">
      <formula>G130</formula>
    </cfRule>
    <cfRule type="cellIs" dxfId="120" priority="13" operator="equal">
      <formula>E130</formula>
    </cfRule>
  </conditionalFormatting>
  <conditionalFormatting sqref="C130:C141">
    <cfRule type="cellIs" dxfId="119" priority="11" operator="equal">
      <formula>B130</formula>
    </cfRule>
  </conditionalFormatting>
  <conditionalFormatting sqref="D130:E141">
    <cfRule type="cellIs" dxfId="118" priority="10" operator="equal">
      <formula>C130</formula>
    </cfRule>
  </conditionalFormatting>
  <conditionalFormatting sqref="F130:F141">
    <cfRule type="cellIs" dxfId="117" priority="8" operator="equal">
      <formula>G130</formula>
    </cfRule>
    <cfRule type="cellIs" dxfId="116" priority="9" operator="equal">
      <formula>E130</formula>
    </cfRule>
  </conditionalFormatting>
  <conditionalFormatting sqref="C129">
    <cfRule type="cellIs" dxfId="115" priority="7" operator="equal">
      <formula>B129</formula>
    </cfRule>
  </conditionalFormatting>
  <conditionalFormatting sqref="D129:E129">
    <cfRule type="cellIs" dxfId="114" priority="6" operator="equal">
      <formula>C129</formula>
    </cfRule>
  </conditionalFormatting>
  <conditionalFormatting sqref="F129">
    <cfRule type="cellIs" dxfId="113" priority="4" operator="equal">
      <formula>G129</formula>
    </cfRule>
    <cfRule type="cellIs" dxfId="112" priority="5" operator="equal">
      <formula>E129</formula>
    </cfRule>
  </conditionalFormatting>
  <conditionalFormatting sqref="F119">
    <cfRule type="cellIs" dxfId="111" priority="3" operator="equal">
      <formula>E119</formula>
    </cfRule>
  </conditionalFormatting>
  <conditionalFormatting sqref="F119">
    <cfRule type="cellIs" dxfId="110" priority="2" operator="equal">
      <formula>E119</formula>
    </cfRule>
  </conditionalFormatting>
  <conditionalFormatting sqref="F119">
    <cfRule type="cellIs" dxfId="109" priority="1" operator="equal">
      <formula>E119</formula>
    </cfRule>
  </conditionalFormatting>
  <dataValidations disablePrompts="1" count="1">
    <dataValidation type="list" allowBlank="1" showInputMessage="1" showErrorMessage="1" sqref="N20" xr:uid="{00000000-0002-0000-0300-000000000000}">
      <formula1>$B$14:$E$14</formula1>
    </dataValidation>
  </dataValidations>
  <hyperlinks>
    <hyperlink ref="F1" location="Inventory!A1" display="Inventory" xr:uid="{00000000-0004-0000-0300-000000000000}"/>
    <hyperlink ref="J118" location="'HM - 4 AC 4 Crew'!A1" display="Top" xr:uid="{00000000-0004-0000-0300-000001000000}"/>
    <hyperlink ref="F2" location="'HM - 4 AC 4 Crew'!A155" display="AMFOM" xr:uid="{00000000-0004-0000-0300-000002000000}"/>
    <hyperlink ref="J119" location="Inventory!A1" display="Inventory" xr:uid="{00000000-0004-0000-0300-000003000000}"/>
  </hyperlinks>
  <pageMargins left="0.5" right="0.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3" tint="0.79998168889431442"/>
    <pageSetUpPr fitToPage="1"/>
  </sheetPr>
  <dimension ref="A1:V161"/>
  <sheetViews>
    <sheetView showGridLines="0" zoomScaleNormal="100" workbookViewId="0">
      <selection activeCell="F1" sqref="F1"/>
    </sheetView>
  </sheetViews>
  <sheetFormatPr defaultRowHeight="12.75" x14ac:dyDescent="0.2"/>
  <cols>
    <col min="1" max="1" width="60" customWidth="1"/>
    <col min="2" max="6" width="5.7109375" customWidth="1"/>
    <col min="7" max="8" width="5.7109375" style="213" customWidth="1"/>
    <col min="9" max="9" width="6.28515625" style="213" customWidth="1"/>
    <col min="10" max="10" width="13.7109375" style="213" bestFit="1" customWidth="1"/>
    <col min="11" max="11" width="5.7109375" style="213" customWidth="1"/>
    <col min="12" max="12" width="5.7109375" style="83" customWidth="1"/>
    <col min="13" max="13" width="13.7109375" style="83" customWidth="1"/>
    <col min="14" max="14" width="10.42578125" style="83" bestFit="1" customWidth="1"/>
    <col min="15" max="15" width="11.85546875" style="83" bestFit="1" customWidth="1"/>
    <col min="16" max="16" width="13.7109375" style="83" bestFit="1" customWidth="1"/>
    <col min="17" max="17" width="18.5703125" style="213" customWidth="1"/>
    <col min="18" max="22" width="9.140625" style="213"/>
  </cols>
  <sheetData>
    <row r="1" spans="1:22" ht="18.75" x14ac:dyDescent="0.3">
      <c r="A1" s="666" t="s">
        <v>197</v>
      </c>
      <c r="B1" s="666"/>
      <c r="C1" s="666"/>
      <c r="D1" s="61"/>
      <c r="F1" s="113" t="s">
        <v>52</v>
      </c>
      <c r="G1" s="61"/>
      <c r="H1" s="61"/>
      <c r="I1" s="212" t="s">
        <v>53</v>
      </c>
      <c r="J1" s="373">
        <v>44835</v>
      </c>
      <c r="K1" s="373"/>
      <c r="L1" s="273" t="s">
        <v>54</v>
      </c>
      <c r="M1" s="515" t="s">
        <v>198</v>
      </c>
      <c r="N1" s="273"/>
      <c r="O1" s="273"/>
      <c r="P1" s="273"/>
    </row>
    <row r="2" spans="1:22" s="25" customFormat="1" ht="12" x14ac:dyDescent="0.2">
      <c r="A2" s="235" t="s">
        <v>56</v>
      </c>
      <c r="B2" s="235">
        <v>2</v>
      </c>
      <c r="C2" s="235"/>
      <c r="D2" s="211"/>
      <c r="F2" s="369" t="s">
        <v>3</v>
      </c>
      <c r="G2" s="211"/>
      <c r="H2" s="211"/>
      <c r="I2" s="211"/>
      <c r="J2" s="211" t="s">
        <v>199</v>
      </c>
      <c r="K2" s="211"/>
      <c r="L2" s="274"/>
      <c r="M2" s="274"/>
      <c r="N2" s="274"/>
      <c r="O2" s="274"/>
      <c r="P2" s="274"/>
      <c r="Q2" s="211"/>
      <c r="R2" s="211"/>
      <c r="S2" s="211"/>
      <c r="T2" s="211"/>
      <c r="U2" s="211"/>
      <c r="V2" s="211"/>
    </row>
    <row r="3" spans="1:22" s="25" customFormat="1" ht="12" x14ac:dyDescent="0.2">
      <c r="A3" s="235" t="s">
        <v>57</v>
      </c>
      <c r="B3" s="235">
        <v>1.75</v>
      </c>
      <c r="C3" s="235"/>
      <c r="D3" s="211"/>
      <c r="F3" s="247"/>
      <c r="G3" s="211"/>
      <c r="H3" s="211"/>
      <c r="I3" s="211"/>
      <c r="J3" s="248" t="s">
        <v>200</v>
      </c>
      <c r="K3" s="248"/>
      <c r="L3" s="274"/>
      <c r="M3" s="274"/>
      <c r="N3" s="274"/>
      <c r="O3" s="274"/>
      <c r="P3" s="274"/>
      <c r="Q3" s="211"/>
      <c r="R3" s="211"/>
      <c r="S3" s="211"/>
      <c r="T3" s="211"/>
      <c r="U3" s="211"/>
      <c r="V3" s="211"/>
    </row>
    <row r="4" spans="1:22" s="25" customFormat="1" ht="12" x14ac:dyDescent="0.2">
      <c r="A4" s="235" t="s">
        <v>58</v>
      </c>
      <c r="B4" s="235">
        <v>3</v>
      </c>
      <c r="C4" s="235"/>
      <c r="D4" s="211"/>
      <c r="F4" s="211"/>
      <c r="G4" s="211"/>
      <c r="H4" s="211"/>
      <c r="I4" s="211"/>
      <c r="J4" s="248" t="s">
        <v>201</v>
      </c>
      <c r="K4" s="248"/>
      <c r="L4" s="274"/>
      <c r="M4" s="274"/>
      <c r="N4" s="274"/>
      <c r="O4" s="274"/>
      <c r="P4" s="274"/>
      <c r="Q4" s="211"/>
      <c r="R4" s="211"/>
      <c r="S4" s="211"/>
      <c r="T4" s="211"/>
      <c r="U4" s="211"/>
      <c r="V4" s="211"/>
    </row>
    <row r="5" spans="1:22" s="25" customFormat="1" ht="12" x14ac:dyDescent="0.2">
      <c r="A5" s="235" t="s">
        <v>59</v>
      </c>
      <c r="B5" s="249">
        <v>2</v>
      </c>
      <c r="C5" s="249"/>
      <c r="D5" s="211"/>
      <c r="F5" s="211"/>
      <c r="G5" s="211"/>
      <c r="H5" s="211"/>
      <c r="I5" s="211"/>
      <c r="J5" s="211"/>
      <c r="K5" s="211"/>
      <c r="L5" s="274"/>
      <c r="M5" s="274"/>
      <c r="N5" s="274"/>
      <c r="O5" s="374"/>
      <c r="P5" s="274"/>
      <c r="Q5" s="211"/>
      <c r="R5" s="211"/>
      <c r="S5" s="211"/>
      <c r="T5" s="211"/>
      <c r="U5" s="211"/>
      <c r="V5" s="211"/>
    </row>
    <row r="6" spans="1:22" s="25" customFormat="1" ht="12" x14ac:dyDescent="0.2">
      <c r="A6" s="235" t="s">
        <v>60</v>
      </c>
      <c r="B6" s="235">
        <v>24.8</v>
      </c>
      <c r="C6" s="235"/>
      <c r="D6" s="211"/>
      <c r="E6" s="211"/>
      <c r="F6" s="211"/>
      <c r="G6" s="211"/>
      <c r="H6" s="211"/>
      <c r="I6" s="211"/>
      <c r="J6" s="211"/>
      <c r="K6" s="211"/>
      <c r="L6" s="275"/>
      <c r="M6" s="274"/>
      <c r="N6" s="274"/>
      <c r="O6" s="274"/>
      <c r="P6" s="274"/>
      <c r="Q6" s="211"/>
      <c r="R6" s="211"/>
      <c r="S6" s="211"/>
      <c r="T6" s="211"/>
      <c r="U6" s="211"/>
      <c r="V6" s="211"/>
    </row>
    <row r="7" spans="1:22" s="25" customFormat="1" ht="12" x14ac:dyDescent="0.2">
      <c r="A7" s="235" t="s">
        <v>61</v>
      </c>
      <c r="B7" s="249">
        <f xml:space="preserve"> PRODUCT(B4,B6)</f>
        <v>74.400000000000006</v>
      </c>
      <c r="C7" s="249"/>
      <c r="D7" s="210"/>
      <c r="E7" s="210"/>
      <c r="F7" s="210"/>
      <c r="G7" s="211"/>
      <c r="H7" s="211"/>
      <c r="I7" s="211"/>
      <c r="J7" s="211"/>
      <c r="K7" s="211"/>
      <c r="L7" s="274"/>
      <c r="M7" s="314"/>
      <c r="N7" s="314"/>
      <c r="O7" s="274"/>
      <c r="P7" s="274"/>
      <c r="Q7" s="211"/>
      <c r="R7" s="211"/>
      <c r="S7" s="211"/>
      <c r="T7" s="211"/>
      <c r="U7" s="211"/>
      <c r="V7" s="211"/>
    </row>
    <row r="8" spans="1:22" s="25" customFormat="1" ht="12" x14ac:dyDescent="0.2">
      <c r="A8" s="235" t="s">
        <v>62</v>
      </c>
      <c r="B8" s="249">
        <f>B7/B5</f>
        <v>37.200000000000003</v>
      </c>
      <c r="C8" s="250"/>
      <c r="D8" s="251"/>
      <c r="E8" s="210"/>
      <c r="F8" s="210"/>
      <c r="G8" s="211"/>
      <c r="H8" s="211"/>
      <c r="I8" s="211"/>
      <c r="J8" s="211"/>
      <c r="K8" s="211"/>
      <c r="L8" s="274"/>
      <c r="M8" s="314"/>
      <c r="N8" s="314"/>
      <c r="O8" s="274"/>
      <c r="P8" s="274"/>
      <c r="Q8" s="211"/>
      <c r="R8" s="211"/>
      <c r="S8" s="211"/>
      <c r="T8" s="211"/>
      <c r="U8" s="211"/>
      <c r="V8" s="211"/>
    </row>
    <row r="9" spans="1:22" s="25" customFormat="1" ht="12" x14ac:dyDescent="0.2">
      <c r="A9" s="235" t="s">
        <v>63</v>
      </c>
      <c r="B9" s="235">
        <f>C9*B4</f>
        <v>3</v>
      </c>
      <c r="C9" s="211">
        <v>1</v>
      </c>
      <c r="D9" s="220" t="s">
        <v>64</v>
      </c>
      <c r="F9" s="211"/>
      <c r="G9" s="211"/>
      <c r="H9" s="252" t="s">
        <v>65</v>
      </c>
      <c r="I9" s="253">
        <v>0.4</v>
      </c>
      <c r="J9" s="211"/>
      <c r="K9" s="211"/>
      <c r="L9" s="274"/>
      <c r="M9" s="314"/>
      <c r="N9" s="314"/>
      <c r="O9" s="274"/>
      <c r="P9" s="274"/>
      <c r="Q9" s="211"/>
      <c r="R9" s="211"/>
      <c r="S9" s="211"/>
      <c r="T9" s="211"/>
      <c r="U9" s="211"/>
      <c r="V9" s="211"/>
    </row>
    <row r="10" spans="1:22" s="25" customFormat="1" ht="12" x14ac:dyDescent="0.2">
      <c r="A10" s="235" t="s">
        <v>66</v>
      </c>
      <c r="B10" s="235">
        <f>C10*B4</f>
        <v>0</v>
      </c>
      <c r="C10" s="251">
        <v>0</v>
      </c>
      <c r="D10" s="220" t="s">
        <v>64</v>
      </c>
      <c r="F10" s="211"/>
      <c r="G10" s="211"/>
      <c r="H10" s="254" t="s">
        <v>67</v>
      </c>
      <c r="I10" s="253">
        <v>7.2999999999999995E-2</v>
      </c>
      <c r="J10" s="211"/>
      <c r="K10" s="211"/>
      <c r="L10" s="274"/>
      <c r="M10" s="314"/>
      <c r="N10" s="314"/>
      <c r="O10" s="274"/>
      <c r="P10" s="274"/>
      <c r="Q10" s="211"/>
      <c r="R10" s="211"/>
      <c r="S10" s="211"/>
      <c r="T10" s="211"/>
      <c r="U10" s="211"/>
      <c r="V10" s="211"/>
    </row>
    <row r="11" spans="1:22" s="25" customFormat="1" ht="12" x14ac:dyDescent="0.2">
      <c r="A11" s="255" t="s">
        <v>68</v>
      </c>
      <c r="B11" s="256">
        <f>C11*B4</f>
        <v>6</v>
      </c>
      <c r="C11" s="227">
        <v>2</v>
      </c>
      <c r="D11" s="220" t="s">
        <v>64</v>
      </c>
      <c r="F11" s="211"/>
      <c r="G11" s="211"/>
      <c r="H11" s="211"/>
      <c r="I11" s="211"/>
      <c r="J11" s="211"/>
      <c r="K11" s="211"/>
      <c r="L11" s="274"/>
      <c r="M11" s="314"/>
      <c r="N11" s="314"/>
      <c r="O11" s="274"/>
      <c r="P11" s="274"/>
      <c r="Q11" s="211"/>
      <c r="R11" s="211"/>
      <c r="S11" s="211"/>
      <c r="T11" s="211"/>
      <c r="U11" s="211"/>
      <c r="V11" s="211"/>
    </row>
    <row r="12" spans="1:22" s="25" customFormat="1" ht="12" x14ac:dyDescent="0.2">
      <c r="A12" s="235"/>
      <c r="B12" s="250"/>
      <c r="C12" s="250"/>
      <c r="D12" s="210"/>
      <c r="E12" s="210"/>
      <c r="F12" s="211"/>
      <c r="G12" s="211"/>
      <c r="H12" s="211"/>
      <c r="I12" s="211"/>
      <c r="J12" s="211"/>
      <c r="K12" s="211"/>
      <c r="L12" s="274"/>
      <c r="M12" s="314"/>
      <c r="N12" s="314"/>
      <c r="O12" s="274"/>
      <c r="P12" s="274"/>
      <c r="Q12" s="211"/>
      <c r="R12" s="211"/>
      <c r="S12" s="211"/>
      <c r="T12" s="211"/>
      <c r="U12" s="211"/>
      <c r="V12" s="211"/>
    </row>
    <row r="13" spans="1:22" s="25" customFormat="1" ht="59.25" x14ac:dyDescent="0.4">
      <c r="A13" s="33" t="s">
        <v>69</v>
      </c>
      <c r="B13" s="34" t="s">
        <v>70</v>
      </c>
      <c r="C13" s="34" t="s">
        <v>71</v>
      </c>
      <c r="D13" s="34" t="s">
        <v>72</v>
      </c>
      <c r="E13" s="34" t="s">
        <v>73</v>
      </c>
      <c r="F13" s="65" t="s">
        <v>74</v>
      </c>
      <c r="G13" s="211"/>
      <c r="H13" s="211"/>
      <c r="I13" s="211"/>
      <c r="J13" s="211"/>
      <c r="K13" s="211"/>
      <c r="L13" s="114"/>
      <c r="M13" s="276" t="s">
        <v>75</v>
      </c>
      <c r="N13" s="314"/>
      <c r="O13" s="277"/>
      <c r="P13" s="277"/>
      <c r="Q13" s="211"/>
      <c r="R13" s="211"/>
      <c r="S13" s="211"/>
      <c r="T13" s="211"/>
      <c r="U13" s="211"/>
      <c r="V13" s="211"/>
    </row>
    <row r="14" spans="1:22" s="25" customFormat="1" ht="12" x14ac:dyDescent="0.2">
      <c r="A14" s="33" t="s">
        <v>76</v>
      </c>
      <c r="B14" s="37" t="s">
        <v>77</v>
      </c>
      <c r="C14" s="37" t="s">
        <v>78</v>
      </c>
      <c r="D14" s="37" t="s">
        <v>79</v>
      </c>
      <c r="E14" s="37" t="s">
        <v>80</v>
      </c>
      <c r="F14" s="66" t="s">
        <v>81</v>
      </c>
      <c r="G14" s="268">
        <v>1</v>
      </c>
      <c r="H14" s="211"/>
      <c r="I14" s="211"/>
      <c r="J14" s="211"/>
      <c r="K14" s="211"/>
      <c r="L14" s="114"/>
      <c r="M14" s="278"/>
      <c r="N14" s="278"/>
      <c r="O14" s="278"/>
      <c r="P14" s="278"/>
      <c r="Q14" s="211"/>
      <c r="R14" s="211"/>
      <c r="S14" s="211"/>
      <c r="T14" s="211"/>
      <c r="U14" s="211"/>
      <c r="V14" s="211"/>
    </row>
    <row r="15" spans="1:22" s="25" customFormat="1" ht="12" x14ac:dyDescent="0.2">
      <c r="A15" s="33" t="s">
        <v>82</v>
      </c>
      <c r="B15" s="38">
        <v>1</v>
      </c>
      <c r="C15" s="38">
        <v>2</v>
      </c>
      <c r="D15" s="38">
        <v>3</v>
      </c>
      <c r="E15" s="38">
        <v>4</v>
      </c>
      <c r="F15" s="66">
        <v>28</v>
      </c>
      <c r="G15" s="268">
        <f>G14+1</f>
        <v>2</v>
      </c>
      <c r="H15" s="211"/>
      <c r="I15" s="211"/>
      <c r="J15" s="211"/>
      <c r="K15" s="211"/>
      <c r="L15" s="114"/>
      <c r="M15" s="278"/>
      <c r="N15" s="278"/>
      <c r="O15" s="278"/>
      <c r="P15" s="278"/>
      <c r="Q15" s="211"/>
      <c r="R15" s="211"/>
      <c r="S15" s="211"/>
      <c r="T15" s="211"/>
      <c r="U15" s="211"/>
      <c r="V15" s="211"/>
    </row>
    <row r="16" spans="1:22" s="25" customFormat="1" ht="12" x14ac:dyDescent="0.2">
      <c r="A16" s="33" t="s">
        <v>83</v>
      </c>
      <c r="B16" s="37" t="s">
        <v>84</v>
      </c>
      <c r="C16" s="37" t="s">
        <v>84</v>
      </c>
      <c r="D16" s="132" t="s">
        <v>72</v>
      </c>
      <c r="E16" s="132" t="s">
        <v>73</v>
      </c>
      <c r="F16" s="228" t="s">
        <v>85</v>
      </c>
      <c r="G16" s="268">
        <f t="shared" ref="G16:G59" si="0">G15+1</f>
        <v>3</v>
      </c>
      <c r="H16" s="211"/>
      <c r="I16" s="211"/>
      <c r="K16" s="211"/>
      <c r="L16" s="279"/>
      <c r="M16" s="655"/>
      <c r="N16" s="280"/>
      <c r="O16" s="114"/>
      <c r="P16" s="114"/>
      <c r="Q16" s="211"/>
      <c r="R16" s="211"/>
      <c r="S16" s="211"/>
      <c r="T16" s="211"/>
      <c r="U16" s="211"/>
      <c r="V16" s="211"/>
    </row>
    <row r="17" spans="1:22" s="25" customFormat="1" x14ac:dyDescent="0.2">
      <c r="A17" s="259" t="s">
        <v>86</v>
      </c>
      <c r="B17" s="167"/>
      <c r="C17" s="270"/>
      <c r="D17" s="168"/>
      <c r="E17" s="168"/>
      <c r="F17" s="134"/>
      <c r="G17" s="268">
        <f t="shared" si="0"/>
        <v>4</v>
      </c>
      <c r="H17" s="116"/>
      <c r="I17" s="211"/>
      <c r="J17" s="211"/>
      <c r="K17" s="211"/>
      <c r="L17" s="279"/>
      <c r="M17" s="667" t="s">
        <v>87</v>
      </c>
      <c r="N17" s="667"/>
      <c r="O17" s="667"/>
      <c r="P17" s="667"/>
      <c r="Q17" s="211"/>
      <c r="R17" s="211"/>
      <c r="S17" s="211"/>
      <c r="T17" s="211"/>
      <c r="U17" s="211"/>
      <c r="V17" s="211"/>
    </row>
    <row r="18" spans="1:22" s="25" customFormat="1" ht="12" x14ac:dyDescent="0.2">
      <c r="A18" s="76" t="s">
        <v>88</v>
      </c>
      <c r="B18" s="133">
        <f>IF(B95&lt;80,B96,MIN(B95,80))</f>
        <v>0</v>
      </c>
      <c r="C18" s="133">
        <f>IF(C95&lt;80,C96,MIN(C95,80))</f>
        <v>5</v>
      </c>
      <c r="D18" s="133">
        <f>IF(D95&lt;80,D96,MIN(D95,80))</f>
        <v>80</v>
      </c>
      <c r="E18" s="133">
        <f>IF(E95&lt;80,E96,MIN(E95,80))</f>
        <v>80</v>
      </c>
      <c r="F18" s="133">
        <f>IF(F95&lt;80,F96,MIN(F95,80))</f>
        <v>22</v>
      </c>
      <c r="G18" s="268">
        <f t="shared" si="0"/>
        <v>5</v>
      </c>
      <c r="H18" s="211"/>
      <c r="I18" s="211"/>
      <c r="J18" s="211"/>
      <c r="K18" s="211"/>
      <c r="L18" s="279"/>
      <c r="M18" s="281"/>
      <c r="N18" s="281"/>
      <c r="O18" s="282"/>
      <c r="P18" s="282"/>
      <c r="Q18" s="211"/>
      <c r="R18" s="211"/>
      <c r="S18" s="211"/>
      <c r="T18" s="211"/>
      <c r="U18" s="211"/>
      <c r="V18" s="211"/>
    </row>
    <row r="19" spans="1:22" s="25" customFormat="1" ht="12" x14ac:dyDescent="0.2">
      <c r="A19" s="77" t="s">
        <v>89</v>
      </c>
      <c r="B19" s="127">
        <v>0.5</v>
      </c>
      <c r="C19" s="127">
        <v>0.6</v>
      </c>
      <c r="D19" s="127">
        <v>0.7</v>
      </c>
      <c r="E19" s="127">
        <v>0.8</v>
      </c>
      <c r="F19" s="28">
        <f>I9</f>
        <v>0.4</v>
      </c>
      <c r="G19" s="268">
        <f t="shared" si="0"/>
        <v>6</v>
      </c>
      <c r="H19" s="81"/>
      <c r="I19" s="211"/>
      <c r="J19" s="211"/>
      <c r="K19" s="211"/>
      <c r="L19" s="279"/>
      <c r="M19" s="283" t="s">
        <v>90</v>
      </c>
      <c r="N19" s="283"/>
      <c r="O19" s="284"/>
      <c r="P19" s="284"/>
      <c r="Q19" s="211"/>
      <c r="R19" s="211"/>
      <c r="S19" s="211"/>
      <c r="T19" s="211"/>
      <c r="U19" s="211"/>
      <c r="V19" s="211"/>
    </row>
    <row r="20" spans="1:22" s="25" customFormat="1" x14ac:dyDescent="0.2">
      <c r="A20" s="125" t="s">
        <v>91</v>
      </c>
      <c r="B20" s="232"/>
      <c r="C20" s="317"/>
      <c r="D20" s="318"/>
      <c r="E20" s="307"/>
      <c r="F20" s="131"/>
      <c r="G20" s="268">
        <f t="shared" si="0"/>
        <v>7</v>
      </c>
      <c r="H20" s="81"/>
      <c r="I20" s="211"/>
      <c r="J20" s="211"/>
      <c r="K20" s="211"/>
      <c r="L20" s="279"/>
      <c r="M20" s="114"/>
      <c r="N20" s="656" t="s">
        <v>80</v>
      </c>
      <c r="O20" s="285" t="s">
        <v>92</v>
      </c>
      <c r="P20" s="114"/>
      <c r="Q20" s="211"/>
      <c r="R20" s="211"/>
      <c r="S20" s="211"/>
      <c r="T20" s="211"/>
      <c r="U20" s="211"/>
      <c r="V20" s="211"/>
    </row>
    <row r="21" spans="1:22" s="25" customFormat="1" ht="12" x14ac:dyDescent="0.2">
      <c r="A21" s="78" t="s">
        <v>93</v>
      </c>
      <c r="B21" s="128">
        <f t="shared" ref="B21:F21" si="1">B19*$B$8</f>
        <v>18.600000000000001</v>
      </c>
      <c r="C21" s="128">
        <f t="shared" ref="C21" si="2">C19*$B$8</f>
        <v>22.32</v>
      </c>
      <c r="D21" s="128">
        <f t="shared" si="1"/>
        <v>26.04</v>
      </c>
      <c r="E21" s="128">
        <f t="shared" si="1"/>
        <v>29.760000000000005</v>
      </c>
      <c r="F21" s="260">
        <f t="shared" si="1"/>
        <v>14.880000000000003</v>
      </c>
      <c r="G21" s="268">
        <f t="shared" si="0"/>
        <v>8</v>
      </c>
      <c r="H21" s="210"/>
      <c r="I21" s="210"/>
      <c r="J21" s="210"/>
      <c r="K21" s="210"/>
      <c r="L21" s="279"/>
      <c r="M21" s="114"/>
      <c r="N21" s="114"/>
      <c r="O21" s="114"/>
      <c r="P21" s="114"/>
      <c r="Q21" s="211"/>
      <c r="R21" s="211"/>
      <c r="S21" s="211"/>
      <c r="T21" s="211"/>
      <c r="U21" s="211"/>
      <c r="V21" s="211"/>
    </row>
    <row r="22" spans="1:22" s="25" customFormat="1" ht="12" x14ac:dyDescent="0.2">
      <c r="A22" s="78" t="s">
        <v>94</v>
      </c>
      <c r="B22" s="68">
        <f t="shared" ref="B22:F22" si="3">B21*$B$5</f>
        <v>37.200000000000003</v>
      </c>
      <c r="C22" s="68">
        <f t="shared" ref="C22" si="4">C21*$B$5</f>
        <v>44.64</v>
      </c>
      <c r="D22" s="68">
        <f t="shared" si="3"/>
        <v>52.08</v>
      </c>
      <c r="E22" s="68">
        <f t="shared" si="3"/>
        <v>59.52000000000001</v>
      </c>
      <c r="F22" s="68">
        <f t="shared" si="3"/>
        <v>29.760000000000005</v>
      </c>
      <c r="G22" s="268">
        <f t="shared" si="0"/>
        <v>9</v>
      </c>
      <c r="H22" s="210"/>
      <c r="I22" s="210"/>
      <c r="J22" s="210"/>
      <c r="K22" s="210"/>
      <c r="L22" s="279"/>
      <c r="M22" s="286" t="s">
        <v>202</v>
      </c>
      <c r="N22" s="287">
        <f>HLOOKUP($N$20,$B$14:$G$59,G36,FALSE)</f>
        <v>1.5</v>
      </c>
      <c r="O22" s="288"/>
      <c r="P22" s="114"/>
      <c r="Q22" s="211"/>
      <c r="R22" s="211"/>
      <c r="S22" s="211"/>
      <c r="T22" s="211"/>
      <c r="U22" s="211"/>
      <c r="V22" s="211"/>
    </row>
    <row r="23" spans="1:22" s="25" customFormat="1" ht="12" x14ac:dyDescent="0.2">
      <c r="A23" s="78" t="s">
        <v>96</v>
      </c>
      <c r="B23" s="30">
        <f>$B$9</f>
        <v>3</v>
      </c>
      <c r="C23" s="30">
        <f>$B$9</f>
        <v>3</v>
      </c>
      <c r="D23" s="30">
        <f t="shared" ref="D23:F23" si="5">$B$9</f>
        <v>3</v>
      </c>
      <c r="E23" s="30">
        <f t="shared" si="5"/>
        <v>3</v>
      </c>
      <c r="F23" s="30">
        <f t="shared" si="5"/>
        <v>3</v>
      </c>
      <c r="G23" s="268">
        <f t="shared" si="0"/>
        <v>10</v>
      </c>
      <c r="H23" s="210"/>
      <c r="I23" s="210"/>
      <c r="J23" s="210"/>
      <c r="K23" s="211"/>
      <c r="L23" s="279"/>
      <c r="M23" s="114"/>
      <c r="N23" s="114"/>
      <c r="O23" s="283"/>
      <c r="P23" s="114"/>
      <c r="Q23" s="211"/>
      <c r="R23" s="211"/>
      <c r="S23" s="211"/>
      <c r="T23" s="211"/>
      <c r="U23" s="211"/>
      <c r="V23" s="211"/>
    </row>
    <row r="24" spans="1:22" s="25" customFormat="1" ht="12" x14ac:dyDescent="0.2">
      <c r="A24" s="78" t="s">
        <v>97</v>
      </c>
      <c r="B24" s="30">
        <f>IF(ISBLANK(B122),0,$B$10)</f>
        <v>0</v>
      </c>
      <c r="C24" s="30">
        <f>IF(ISBLANK(C122),0,$B$10)</f>
        <v>0</v>
      </c>
      <c r="D24" s="30">
        <f>IF(ISBLANK(D122),0,$B$10)</f>
        <v>0</v>
      </c>
      <c r="E24" s="30">
        <f>IF(ISBLANK(E122),0,$B$10)</f>
        <v>0</v>
      </c>
      <c r="F24" s="30">
        <f>IF(ISBLANK(AD137),0,$B$10)</f>
        <v>0</v>
      </c>
      <c r="G24" s="268">
        <f t="shared" si="0"/>
        <v>11</v>
      </c>
      <c r="H24" s="81"/>
      <c r="I24" s="210"/>
      <c r="J24" s="210"/>
      <c r="K24" s="211"/>
      <c r="L24" s="279"/>
      <c r="M24" s="114" t="s">
        <v>98</v>
      </c>
      <c r="N24" s="291"/>
      <c r="O24" s="290"/>
      <c r="P24" s="114"/>
      <c r="Q24" s="211"/>
      <c r="R24" s="211"/>
      <c r="S24" s="211"/>
      <c r="T24" s="211"/>
      <c r="U24" s="211"/>
      <c r="V24" s="211"/>
    </row>
    <row r="25" spans="1:22" s="25" customFormat="1" ht="12" x14ac:dyDescent="0.2">
      <c r="A25" s="78" t="s">
        <v>99</v>
      </c>
      <c r="B25" s="68">
        <f>B21*$B$5+SUM(B23:B24)</f>
        <v>40.200000000000003</v>
      </c>
      <c r="C25" s="68">
        <f>C21*$B$5+SUM(C23:C24)</f>
        <v>47.64</v>
      </c>
      <c r="D25" s="68">
        <f>D21*$B$5+SUM(D23:D24)</f>
        <v>55.08</v>
      </c>
      <c r="E25" s="68">
        <f>E21*$B$5+SUM(E23:E24)</f>
        <v>62.52000000000001</v>
      </c>
      <c r="F25" s="68">
        <f>F21*$B$5+SUM(F23:F24)</f>
        <v>32.760000000000005</v>
      </c>
      <c r="G25" s="268">
        <f t="shared" si="0"/>
        <v>12</v>
      </c>
      <c r="H25" s="81"/>
      <c r="I25" s="210"/>
      <c r="J25" s="210"/>
      <c r="K25" s="211"/>
      <c r="L25" s="279"/>
      <c r="M25" s="114" t="s">
        <v>100</v>
      </c>
      <c r="N25" s="657" t="s">
        <v>203</v>
      </c>
      <c r="O25" s="309" t="s">
        <v>102</v>
      </c>
      <c r="P25" s="657" t="s">
        <v>103</v>
      </c>
      <c r="Q25" s="211"/>
      <c r="R25" s="211"/>
      <c r="S25" s="211"/>
      <c r="T25" s="211"/>
      <c r="U25" s="211"/>
      <c r="V25" s="211"/>
    </row>
    <row r="26" spans="1:22" s="25" customFormat="1" ht="12" x14ac:dyDescent="0.2">
      <c r="A26" s="79" t="s">
        <v>104</v>
      </c>
      <c r="B26" s="69">
        <f>-IF(ISBLANK(B121),0,MIN(B$22*$I$10,B$22-$B$7*$I$9))</f>
        <v>-2.7156000000000002</v>
      </c>
      <c r="C26" s="69">
        <f>-IF(ISBLANK(C121),0,MIN(C$22*$I$10,C$22-$B$7*$I$9))</f>
        <v>-3.2587199999999998</v>
      </c>
      <c r="D26" s="69">
        <f>-IF(ISBLANK(D121),0,MIN(D$22*$I$10,D$22-$B$7*$I$9))</f>
        <v>-3.8018399999999994</v>
      </c>
      <c r="E26" s="69">
        <f>-IF(ISBLANK(E121),0,MIN(E$22*$I$10,E$22-$B$7*$I$9))</f>
        <v>0</v>
      </c>
      <c r="F26" s="69">
        <f>-IF(ISBLANK(F121),0,MIN(F$22*$I$10,F$22-$B$7*$I$9))</f>
        <v>0</v>
      </c>
      <c r="G26" s="268">
        <f t="shared" si="0"/>
        <v>13</v>
      </c>
      <c r="H26" s="81"/>
      <c r="I26" s="210"/>
      <c r="J26" s="210"/>
      <c r="K26" s="211"/>
      <c r="L26" s="279"/>
      <c r="N26" s="311">
        <v>1.5</v>
      </c>
      <c r="O26" s="312">
        <v>2.7</v>
      </c>
      <c r="P26" s="310">
        <v>2</v>
      </c>
      <c r="Q26" s="211"/>
      <c r="R26" s="211"/>
      <c r="S26" s="211"/>
      <c r="T26" s="211"/>
      <c r="U26" s="211"/>
      <c r="V26" s="211"/>
    </row>
    <row r="27" spans="1:22" s="25" customFormat="1" ht="12" x14ac:dyDescent="0.2">
      <c r="A27" s="78" t="s">
        <v>105</v>
      </c>
      <c r="B27" s="69">
        <f t="shared" ref="B27:F27" si="6">SUM(B25:B26)</f>
        <v>37.484400000000001</v>
      </c>
      <c r="C27" s="69">
        <f t="shared" si="6"/>
        <v>44.381280000000004</v>
      </c>
      <c r="D27" s="69">
        <f t="shared" si="6"/>
        <v>51.27816</v>
      </c>
      <c r="E27" s="69">
        <f t="shared" si="6"/>
        <v>62.52000000000001</v>
      </c>
      <c r="F27" s="69">
        <f t="shared" si="6"/>
        <v>32.760000000000005</v>
      </c>
      <c r="G27" s="268">
        <f t="shared" si="0"/>
        <v>14</v>
      </c>
      <c r="H27" s="210"/>
      <c r="I27" s="210"/>
      <c r="J27" s="210"/>
      <c r="K27" s="211"/>
      <c r="L27" s="279"/>
      <c r="M27" s="313" t="s">
        <v>106</v>
      </c>
      <c r="N27" s="311"/>
      <c r="O27" s="312"/>
      <c r="P27" s="310"/>
      <c r="Q27" s="211"/>
      <c r="R27" s="211"/>
      <c r="S27" s="211"/>
      <c r="T27" s="211"/>
      <c r="U27" s="211"/>
      <c r="V27" s="211"/>
    </row>
    <row r="28" spans="1:22" s="25" customFormat="1" ht="12" x14ac:dyDescent="0.2">
      <c r="A28" s="79" t="s">
        <v>107</v>
      </c>
      <c r="B28" s="128">
        <f>AVERAGE($E$22:$F$22,B22)</f>
        <v>42.160000000000004</v>
      </c>
      <c r="C28" s="128">
        <f>AVERAGE(F22,$B$22:$C$22)</f>
        <v>37.200000000000003</v>
      </c>
      <c r="D28" s="128">
        <f>AVERAGE($B$22:$D$22)</f>
        <v>44.640000000000008</v>
      </c>
      <c r="E28" s="128">
        <f>AVERAGE($C$22:$E$22)</f>
        <v>52.080000000000005</v>
      </c>
      <c r="F28" s="128" t="s">
        <v>108</v>
      </c>
      <c r="G28" s="268">
        <f t="shared" si="0"/>
        <v>15</v>
      </c>
      <c r="H28" s="210"/>
      <c r="I28" s="210"/>
      <c r="J28" s="210"/>
      <c r="K28" s="211"/>
      <c r="L28" s="279"/>
      <c r="M28" s="292"/>
      <c r="N28" s="290"/>
      <c r="O28" s="290"/>
      <c r="P28" s="114"/>
      <c r="Q28" s="211"/>
      <c r="R28" s="211"/>
      <c r="S28" s="211"/>
      <c r="T28" s="211"/>
      <c r="U28" s="211"/>
      <c r="V28" s="211"/>
    </row>
    <row r="29" spans="1:22" s="25" customFormat="1" x14ac:dyDescent="0.2">
      <c r="A29" s="126" t="s">
        <v>109</v>
      </c>
      <c r="B29" s="232"/>
      <c r="C29" s="317"/>
      <c r="D29" s="318"/>
      <c r="E29" s="307"/>
      <c r="F29" s="131"/>
      <c r="G29" s="268">
        <f t="shared" si="0"/>
        <v>16</v>
      </c>
      <c r="H29" s="210"/>
      <c r="I29" s="210"/>
      <c r="J29" s="210"/>
      <c r="K29" s="211"/>
      <c r="M29" s="668" t="s">
        <v>110</v>
      </c>
      <c r="N29" s="668"/>
      <c r="O29" s="668"/>
      <c r="P29" s="668"/>
      <c r="Q29" s="668"/>
      <c r="R29" s="211"/>
      <c r="S29" s="211"/>
      <c r="T29" s="211"/>
      <c r="U29" s="211"/>
      <c r="V29" s="211"/>
    </row>
    <row r="30" spans="1:22" s="25" customFormat="1" ht="12" x14ac:dyDescent="0.2">
      <c r="A30" s="79" t="s">
        <v>111</v>
      </c>
      <c r="B30" s="130">
        <f>IF(ISBLANK(B121),0,$B$11)</f>
        <v>6</v>
      </c>
      <c r="C30" s="130">
        <f>IF(ISBLANK(C121),0,$B$11)</f>
        <v>6</v>
      </c>
      <c r="D30" s="130">
        <f>IF(ISBLANK(D121),0,$B$11)</f>
        <v>6</v>
      </c>
      <c r="E30" s="130">
        <f>IF(ISBLANK(E121),0,$B$11)</f>
        <v>0</v>
      </c>
      <c r="F30" s="130">
        <f>IF(ISBLANK(F121),0,$B$11)</f>
        <v>6</v>
      </c>
      <c r="G30" s="268">
        <f t="shared" si="0"/>
        <v>17</v>
      </c>
      <c r="H30" s="210"/>
      <c r="I30" s="210"/>
      <c r="J30" s="210"/>
      <c r="K30" s="211"/>
      <c r="M30" s="293" t="s">
        <v>112</v>
      </c>
      <c r="N30" s="293" t="s">
        <v>113</v>
      </c>
      <c r="O30" s="294" t="s">
        <v>114</v>
      </c>
      <c r="P30" s="654" t="s">
        <v>115</v>
      </c>
      <c r="Q30" s="654" t="s">
        <v>116</v>
      </c>
      <c r="R30" s="211"/>
      <c r="S30" s="211"/>
      <c r="T30" s="211"/>
      <c r="U30" s="211"/>
      <c r="V30" s="211"/>
    </row>
    <row r="31" spans="1:22" s="25" customFormat="1" x14ac:dyDescent="0.2">
      <c r="A31" s="245" t="s">
        <v>117</v>
      </c>
      <c r="B31" s="169"/>
      <c r="C31" s="170"/>
      <c r="D31" s="170"/>
      <c r="E31" s="170"/>
      <c r="F31" s="131"/>
      <c r="G31" s="268">
        <f t="shared" si="0"/>
        <v>18</v>
      </c>
      <c r="H31" s="210"/>
      <c r="I31" s="210"/>
      <c r="J31" s="210"/>
      <c r="K31" s="211"/>
      <c r="M31" s="306" t="str">
        <f>A49</f>
        <v>Ready Guns Sets</v>
      </c>
      <c r="N31" s="296">
        <v>2.2999999999999998</v>
      </c>
      <c r="O31" s="287">
        <f>HLOOKUP($N$20,$B$14:$G$59,G49,FALSE)</f>
        <v>3</v>
      </c>
      <c r="P31" s="308">
        <f>IF(Q31&lt;=1,IF(ISERROR(MAX(0,$O31-N31)),0,MAX(0,$O31-N31)),IF(ISERROR(MAX(0,(O31-$N31)/Q31)),0,MAX(0,(O31-$N31)/Q31)))</f>
        <v>0.35000000000000009</v>
      </c>
      <c r="Q31" s="315">
        <f>O31/$N$22</f>
        <v>2</v>
      </c>
      <c r="R31" s="211"/>
      <c r="S31" s="211"/>
      <c r="T31" s="211"/>
      <c r="U31" s="211"/>
      <c r="V31" s="211"/>
    </row>
    <row r="32" spans="1:22" s="25" customFormat="1" ht="12" x14ac:dyDescent="0.2">
      <c r="A32" s="80" t="s">
        <v>118</v>
      </c>
      <c r="B32" s="28">
        <f>MAX(IF(B18&lt;60,0.6,IF(AND(B18&gt;59,B18&lt;90),0.8,IF(B18&gt;90,0.9,0))),MIN(1,B25/MAX($B$25:$E$25)))</f>
        <v>0.64299424184261034</v>
      </c>
      <c r="C32" s="28">
        <f>MAX(IF(C18&lt;60,0.6,IF(AND(C18&gt;59,C18&lt;90),0.8,IF(C18&gt;90,0.9,0))),MIN(1,C25/MAX($B$25:$E$25)))</f>
        <v>0.76199616122840674</v>
      </c>
      <c r="D32" s="28">
        <f>MAX(IF(D18&lt;60,0.6,IF(AND(D18&gt;59,D18&lt;90),0.8,IF(D18&gt;90,0.9,0))),MIN(1,D25/MAX($B$25:$E$25)))</f>
        <v>0.88099808061420326</v>
      </c>
      <c r="E32" s="28">
        <f>MAX(IF(E18&lt;60,0.6,IF(AND(E18&gt;59,E18&lt;90),0.8,IF(E18&gt;90,0.9,0))),MIN(1,E25/MAX($B$25:$E$25)))</f>
        <v>1</v>
      </c>
      <c r="F32" s="28">
        <f>MAX(IF(F18&lt;60,0.6,IF(AND(F18&gt;59,F18&lt;90),0.8,IF(F18&gt;90,0.9,0))),MIN(1,F25/MAX($B$25:$E$25)))</f>
        <v>0.6</v>
      </c>
      <c r="G32" s="268">
        <f t="shared" si="0"/>
        <v>19</v>
      </c>
      <c r="H32" s="210"/>
      <c r="I32" s="210"/>
      <c r="J32" s="210"/>
      <c r="K32" s="211"/>
      <c r="M32" s="306" t="str">
        <f>A51</f>
        <v>Ready MK 103 Sets</v>
      </c>
      <c r="N32" s="296">
        <v>1</v>
      </c>
      <c r="O32" s="287">
        <f>HLOOKUP($N$20,$B$14:$G$59,G51,FALSE)</f>
        <v>1.5</v>
      </c>
      <c r="P32" s="308">
        <f t="shared" ref="P32:P36" si="7">IF(Q32&lt;=1,IF(ISERROR(MAX(0,$O32-N32)),0,MAX(0,$O32-N32)),IF(ISERROR(MAX(0,(O32-$N32)/Q32)),0,MAX(0,(O32-$N32)/Q32)))</f>
        <v>0.5</v>
      </c>
      <c r="Q32" s="315">
        <f t="shared" ref="Q32:Q36" si="8">O32/$N$22</f>
        <v>1</v>
      </c>
      <c r="R32" s="211"/>
      <c r="S32" s="211"/>
      <c r="T32" s="211"/>
      <c r="U32" s="211"/>
      <c r="V32" s="211"/>
    </row>
    <row r="33" spans="1:22" s="25" customFormat="1" ht="12" x14ac:dyDescent="0.2">
      <c r="A33" s="80" t="s">
        <v>119</v>
      </c>
      <c r="B33" s="70">
        <f>0.75*B32</f>
        <v>0.48224568138195778</v>
      </c>
      <c r="C33" s="70">
        <f>0.75*C32</f>
        <v>0.57149712092130511</v>
      </c>
      <c r="D33" s="70">
        <f t="shared" ref="D33:F33" si="9">0.75*D32</f>
        <v>0.66074856046065245</v>
      </c>
      <c r="E33" s="70">
        <f t="shared" si="9"/>
        <v>0.75</v>
      </c>
      <c r="F33" s="70">
        <f t="shared" si="9"/>
        <v>0.44999999999999996</v>
      </c>
      <c r="G33" s="268">
        <f t="shared" si="0"/>
        <v>20</v>
      </c>
      <c r="H33" s="81"/>
      <c r="I33" s="210"/>
      <c r="J33" s="210"/>
      <c r="K33" s="211"/>
      <c r="M33" s="306" t="str">
        <f>A53</f>
        <v>Ready MK 104 Sets</v>
      </c>
      <c r="N33" s="296">
        <v>1</v>
      </c>
      <c r="O33" s="287">
        <f>HLOOKUP($N$20,$B$14:$G$59,G53,FALSE)</f>
        <v>1.5</v>
      </c>
      <c r="P33" s="308">
        <f t="shared" si="7"/>
        <v>0.5</v>
      </c>
      <c r="Q33" s="315">
        <f t="shared" si="8"/>
        <v>1</v>
      </c>
      <c r="R33" s="211"/>
      <c r="S33" s="211"/>
      <c r="T33" s="211"/>
      <c r="U33" s="211"/>
      <c r="V33" s="211"/>
    </row>
    <row r="34" spans="1:22" s="25" customFormat="1" ht="12" x14ac:dyDescent="0.2">
      <c r="A34" s="80" t="s">
        <v>120</v>
      </c>
      <c r="B34" s="70">
        <f>((B36*$B$153)/$B$2)</f>
        <v>0.35059895010899023</v>
      </c>
      <c r="C34" s="70">
        <f t="shared" ref="C34:F34" si="10">((C36*$B$153)/$B$2)</f>
        <v>0.4154859199799078</v>
      </c>
      <c r="D34" s="70">
        <f t="shared" si="10"/>
        <v>0.48037288985082532</v>
      </c>
      <c r="E34" s="70">
        <f t="shared" si="10"/>
        <v>0.54525985972174307</v>
      </c>
      <c r="F34" s="70">
        <f t="shared" si="10"/>
        <v>0.32715591583304582</v>
      </c>
      <c r="G34" s="268">
        <f t="shared" si="0"/>
        <v>21</v>
      </c>
      <c r="H34" s="81"/>
      <c r="I34" s="210"/>
      <c r="J34" s="210"/>
      <c r="K34" s="211"/>
      <c r="M34" s="306" t="str">
        <f>A55</f>
        <v>Ready MK 105 Sets</v>
      </c>
      <c r="N34" s="296">
        <v>1</v>
      </c>
      <c r="O34" s="287">
        <f>HLOOKUP($N$20,$B$14:$G$59,G55,FALSE)</f>
        <v>1.5</v>
      </c>
      <c r="P34" s="308">
        <f t="shared" si="7"/>
        <v>0.5</v>
      </c>
      <c r="Q34" s="315">
        <f t="shared" si="8"/>
        <v>1</v>
      </c>
      <c r="R34" s="211"/>
      <c r="S34" s="211"/>
      <c r="T34" s="211"/>
      <c r="U34" s="211"/>
      <c r="V34" s="211"/>
    </row>
    <row r="35" spans="1:22" s="25" customFormat="1" ht="12" x14ac:dyDescent="0.2">
      <c r="A35" s="78" t="s">
        <v>121</v>
      </c>
      <c r="B35" s="451">
        <f>PRODUCT($B$2,B$32)</f>
        <v>1.2859884836852207</v>
      </c>
      <c r="C35" s="451">
        <f>PRODUCT($B$2,C$32)</f>
        <v>1.5239923224568135</v>
      </c>
      <c r="D35" s="451">
        <f>PRODUCT($B$2,D$32)</f>
        <v>1.7619961612284065</v>
      </c>
      <c r="E35" s="451">
        <f>PRODUCT($B$2,E$32)</f>
        <v>2</v>
      </c>
      <c r="F35" s="451">
        <f>PRODUCT($B$2,F$32)</f>
        <v>1.2</v>
      </c>
      <c r="G35" s="268">
        <f t="shared" si="0"/>
        <v>22</v>
      </c>
      <c r="H35" s="116"/>
      <c r="I35" s="210"/>
      <c r="J35" s="210"/>
      <c r="K35" s="211"/>
      <c r="M35" s="306" t="str">
        <f>A57</f>
        <v>Ready Q24 Sets</v>
      </c>
      <c r="N35" s="296">
        <v>1</v>
      </c>
      <c r="O35" s="287">
        <f>HLOOKUP($N$20,$B$14:$G$59,G57,FALSE)</f>
        <v>1.5</v>
      </c>
      <c r="P35" s="308">
        <f t="shared" si="7"/>
        <v>0.5</v>
      </c>
      <c r="Q35" s="315">
        <f t="shared" si="8"/>
        <v>1</v>
      </c>
      <c r="R35" s="211"/>
      <c r="S35" s="211"/>
      <c r="T35" s="211"/>
      <c r="U35" s="211"/>
      <c r="V35" s="211"/>
    </row>
    <row r="36" spans="1:22" s="25" customFormat="1" ht="12" x14ac:dyDescent="0.2">
      <c r="A36" s="78" t="s">
        <v>122</v>
      </c>
      <c r="B36" s="450">
        <f>$B$2*B$33</f>
        <v>0.96449136276391556</v>
      </c>
      <c r="C36" s="450">
        <f>$B$2*C$33</f>
        <v>1.1429942418426102</v>
      </c>
      <c r="D36" s="450">
        <f>$B$2*D$33</f>
        <v>1.3214971209213049</v>
      </c>
      <c r="E36" s="450">
        <v>1.5</v>
      </c>
      <c r="F36" s="450">
        <v>0.9</v>
      </c>
      <c r="G36" s="268">
        <f t="shared" si="0"/>
        <v>23</v>
      </c>
      <c r="H36" s="82"/>
      <c r="I36" s="471"/>
      <c r="J36" s="210"/>
      <c r="K36" s="211"/>
      <c r="M36" s="306" t="str">
        <f>A59</f>
        <v>Ready MOP Sets</v>
      </c>
      <c r="N36" s="296">
        <v>1</v>
      </c>
      <c r="O36" s="287">
        <f>HLOOKUP($N$20,$B$14:$G$59,G59,FALSE)</f>
        <v>1.5</v>
      </c>
      <c r="P36" s="308">
        <f t="shared" si="7"/>
        <v>0.5</v>
      </c>
      <c r="Q36" s="315">
        <f t="shared" si="8"/>
        <v>1</v>
      </c>
      <c r="R36" s="211"/>
      <c r="S36" s="211"/>
      <c r="T36" s="211"/>
      <c r="U36" s="211"/>
      <c r="V36" s="211"/>
    </row>
    <row r="37" spans="1:22" s="25" customFormat="1" ht="12" x14ac:dyDescent="0.2">
      <c r="A37" s="527" t="s">
        <v>123</v>
      </c>
      <c r="B37" s="531">
        <f>B34*$B$2</f>
        <v>0.70119790021798045</v>
      </c>
      <c r="C37" s="531">
        <f>C34*$B$2</f>
        <v>0.83097183995981561</v>
      </c>
      <c r="D37" s="531">
        <f>D34*$B$2</f>
        <v>0.96074577970165065</v>
      </c>
      <c r="E37" s="531">
        <f>E34*$B$2</f>
        <v>1.0905197194434861</v>
      </c>
      <c r="F37" s="531">
        <f>F34*$B$2</f>
        <v>0.65431183166609164</v>
      </c>
      <c r="G37" s="268">
        <f t="shared" si="0"/>
        <v>24</v>
      </c>
      <c r="H37" s="82"/>
      <c r="I37" s="471"/>
      <c r="J37" s="210"/>
      <c r="K37" s="211"/>
      <c r="L37" s="297"/>
      <c r="M37" s="295"/>
      <c r="N37" s="280"/>
      <c r="O37" s="280"/>
      <c r="P37" s="114"/>
      <c r="Q37" s="211"/>
      <c r="R37" s="211"/>
      <c r="S37" s="211"/>
      <c r="T37" s="211"/>
      <c r="U37" s="211"/>
      <c r="V37" s="211"/>
    </row>
    <row r="38" spans="1:22" s="25" customFormat="1" x14ac:dyDescent="0.2">
      <c r="A38" s="245" t="s">
        <v>124</v>
      </c>
      <c r="B38" s="452"/>
      <c r="C38" s="453"/>
      <c r="D38" s="453"/>
      <c r="E38" s="453"/>
      <c r="F38" s="454"/>
      <c r="G38" s="268">
        <f t="shared" si="0"/>
        <v>25</v>
      </c>
      <c r="H38" s="82"/>
      <c r="I38" s="210"/>
      <c r="J38" s="210"/>
      <c r="K38" s="211"/>
      <c r="Q38" s="211"/>
      <c r="R38" s="211"/>
      <c r="S38" s="211"/>
      <c r="T38" s="211"/>
      <c r="U38" s="211"/>
      <c r="V38" s="211"/>
    </row>
    <row r="39" spans="1:22" s="25" customFormat="1" ht="12" x14ac:dyDescent="0.2">
      <c r="A39" s="446" t="s">
        <v>125</v>
      </c>
      <c r="B39" s="455">
        <f>B$36*$B154</f>
        <v>0.4524414898512229</v>
      </c>
      <c r="C39" s="455">
        <f t="shared" ref="C39:F39" si="11">C$36*$B154</f>
        <v>0.53617692976398645</v>
      </c>
      <c r="D39" s="455">
        <f t="shared" si="11"/>
        <v>0.61991236967675001</v>
      </c>
      <c r="E39" s="455">
        <f t="shared" si="11"/>
        <v>0.70364780958951378</v>
      </c>
      <c r="F39" s="455">
        <f t="shared" si="11"/>
        <v>0.42218868575370827</v>
      </c>
      <c r="G39" s="268">
        <f t="shared" si="0"/>
        <v>26</v>
      </c>
      <c r="H39" s="82"/>
      <c r="I39" s="210"/>
      <c r="J39" s="210"/>
      <c r="K39" s="211"/>
      <c r="Q39" s="211"/>
      <c r="R39" s="211"/>
      <c r="S39" s="211"/>
      <c r="T39" s="211"/>
      <c r="U39" s="211"/>
      <c r="V39" s="211"/>
    </row>
    <row r="40" spans="1:22" s="25" customFormat="1" ht="12" x14ac:dyDescent="0.2">
      <c r="A40" s="446" t="s">
        <v>126</v>
      </c>
      <c r="B40" s="455">
        <f t="shared" ref="B40:F40" si="12">B$36*$B155</f>
        <v>0.44146245743618007</v>
      </c>
      <c r="C40" s="455">
        <f t="shared" si="12"/>
        <v>0.52316595702138347</v>
      </c>
      <c r="D40" s="455">
        <f t="shared" si="12"/>
        <v>0.60486945660658686</v>
      </c>
      <c r="E40" s="455">
        <f t="shared" si="12"/>
        <v>0.68657295619179048</v>
      </c>
      <c r="F40" s="455">
        <f t="shared" si="12"/>
        <v>0.41194377371507429</v>
      </c>
      <c r="G40" s="268">
        <f t="shared" si="0"/>
        <v>27</v>
      </c>
      <c r="H40" s="171"/>
      <c r="I40" s="210"/>
      <c r="J40" s="210"/>
      <c r="K40" s="211"/>
      <c r="Q40" s="211"/>
      <c r="R40" s="211"/>
      <c r="S40" s="211"/>
      <c r="T40" s="211"/>
      <c r="U40" s="211"/>
      <c r="V40" s="211"/>
    </row>
    <row r="41" spans="1:22" s="25" customFormat="1" ht="12" x14ac:dyDescent="0.2">
      <c r="A41" s="446" t="s">
        <v>127</v>
      </c>
      <c r="B41" s="455">
        <f t="shared" ref="B41:F41" si="13">B$36*$B156</f>
        <v>0.56406165273749176</v>
      </c>
      <c r="C41" s="455">
        <f t="shared" si="13"/>
        <v>0.66845515264711697</v>
      </c>
      <c r="D41" s="455">
        <f t="shared" si="13"/>
        <v>0.77284865255674218</v>
      </c>
      <c r="E41" s="455">
        <f t="shared" si="13"/>
        <v>0.87724215246636772</v>
      </c>
      <c r="F41" s="455">
        <f t="shared" si="13"/>
        <v>0.52634529147982068</v>
      </c>
      <c r="G41" s="268">
        <f t="shared" si="0"/>
        <v>28</v>
      </c>
      <c r="H41" s="82"/>
      <c r="I41" s="210"/>
      <c r="K41" s="211"/>
      <c r="Q41" s="211"/>
      <c r="R41" s="211"/>
      <c r="S41" s="211"/>
      <c r="T41" s="211"/>
      <c r="U41" s="211"/>
      <c r="V41" s="211"/>
    </row>
    <row r="42" spans="1:22" s="25" customFormat="1" ht="12" x14ac:dyDescent="0.2">
      <c r="A42" s="509" t="s">
        <v>128</v>
      </c>
      <c r="B42" s="455">
        <f t="shared" ref="B42:F42" si="14">B$36*$B157</f>
        <v>0</v>
      </c>
      <c r="C42" s="455">
        <f t="shared" si="14"/>
        <v>0</v>
      </c>
      <c r="D42" s="455">
        <f t="shared" si="14"/>
        <v>0</v>
      </c>
      <c r="E42" s="455">
        <f t="shared" si="14"/>
        <v>0</v>
      </c>
      <c r="F42" s="455">
        <f t="shared" si="14"/>
        <v>0</v>
      </c>
      <c r="G42" s="268">
        <f t="shared" si="0"/>
        <v>29</v>
      </c>
      <c r="H42" s="82"/>
      <c r="I42" s="210"/>
      <c r="K42" s="211"/>
      <c r="Q42" s="211"/>
      <c r="R42" s="211"/>
      <c r="S42" s="211"/>
      <c r="T42" s="211"/>
      <c r="U42" s="211"/>
      <c r="V42" s="211"/>
    </row>
    <row r="43" spans="1:22" s="25" customFormat="1" ht="12" x14ac:dyDescent="0.2">
      <c r="A43" s="446" t="s">
        <v>129</v>
      </c>
      <c r="B43" s="455">
        <f t="shared" ref="B43:F43" si="15">B$36*$B158</f>
        <v>0</v>
      </c>
      <c r="C43" s="455">
        <f t="shared" si="15"/>
        <v>0</v>
      </c>
      <c r="D43" s="455">
        <f t="shared" si="15"/>
        <v>0</v>
      </c>
      <c r="E43" s="455">
        <f t="shared" si="15"/>
        <v>0</v>
      </c>
      <c r="F43" s="455">
        <f t="shared" si="15"/>
        <v>0</v>
      </c>
      <c r="G43" s="268">
        <f t="shared" si="0"/>
        <v>30</v>
      </c>
      <c r="H43" s="82"/>
      <c r="I43" s="210"/>
      <c r="K43" s="211"/>
      <c r="Q43" s="211"/>
      <c r="R43" s="211"/>
      <c r="S43" s="211"/>
      <c r="T43" s="211"/>
      <c r="U43" s="211"/>
      <c r="V43" s="211"/>
    </row>
    <row r="44" spans="1:22" s="25" customFormat="1" ht="12" x14ac:dyDescent="0.2">
      <c r="A44" s="446" t="s">
        <v>130</v>
      </c>
      <c r="B44" s="455">
        <f t="shared" ref="B44:F46" si="16">B$36*$B159</f>
        <v>0.45274646297386301</v>
      </c>
      <c r="C44" s="455">
        <f t="shared" si="16"/>
        <v>0.53653834567350323</v>
      </c>
      <c r="D44" s="455">
        <f t="shared" si="16"/>
        <v>0.62033022837314344</v>
      </c>
      <c r="E44" s="455">
        <f t="shared" si="16"/>
        <v>0.704122111072784</v>
      </c>
      <c r="F44" s="455">
        <f t="shared" si="16"/>
        <v>0.42247326664367035</v>
      </c>
      <c r="G44" s="268">
        <f t="shared" si="0"/>
        <v>31</v>
      </c>
      <c r="H44" s="210"/>
      <c r="I44" s="210"/>
      <c r="K44" s="211"/>
      <c r="Q44" s="211"/>
      <c r="R44" s="211"/>
      <c r="S44" s="211"/>
      <c r="T44" s="211"/>
      <c r="U44" s="211"/>
      <c r="V44" s="211"/>
    </row>
    <row r="45" spans="1:22" s="25" customFormat="1" ht="12" x14ac:dyDescent="0.2">
      <c r="A45" s="446" t="s">
        <v>131</v>
      </c>
      <c r="B45" s="455">
        <f>IF(B$13="Deploy",B$36,B$36*$B160)</f>
        <v>0.5750406851525347</v>
      </c>
      <c r="C45" s="455">
        <f t="shared" ref="C45:F45" si="17">IF(C$13="Deploy",C$36,C$36*$B160)</f>
        <v>0.68146612538972007</v>
      </c>
      <c r="D45" s="455">
        <f t="shared" si="17"/>
        <v>0.78789156562690554</v>
      </c>
      <c r="E45" s="455">
        <f t="shared" si="17"/>
        <v>1.5</v>
      </c>
      <c r="F45" s="455">
        <f t="shared" si="17"/>
        <v>0.53659020351845477</v>
      </c>
      <c r="G45" s="268">
        <f t="shared" si="0"/>
        <v>32</v>
      </c>
      <c r="H45" s="211"/>
      <c r="I45" s="211"/>
      <c r="K45" s="211"/>
      <c r="M45" s="36"/>
      <c r="N45" s="36"/>
      <c r="O45" s="36"/>
      <c r="P45" s="36"/>
      <c r="Q45" s="211"/>
      <c r="R45" s="211"/>
      <c r="S45" s="211"/>
      <c r="T45" s="211"/>
      <c r="U45" s="211"/>
      <c r="V45" s="211"/>
    </row>
    <row r="46" spans="1:22" s="25" customFormat="1" x14ac:dyDescent="0.2">
      <c r="A46" s="510" t="s">
        <v>132</v>
      </c>
      <c r="B46" s="455">
        <f t="shared" si="16"/>
        <v>0.96449136276391556</v>
      </c>
      <c r="C46" s="455">
        <f t="shared" si="16"/>
        <v>1.1429942418426102</v>
      </c>
      <c r="D46" s="455">
        <f t="shared" si="16"/>
        <v>1.3214971209213049</v>
      </c>
      <c r="E46" s="455">
        <f t="shared" si="16"/>
        <v>1.5</v>
      </c>
      <c r="F46" s="455">
        <f t="shared" si="16"/>
        <v>0.9</v>
      </c>
      <c r="G46" s="268">
        <f t="shared" si="0"/>
        <v>33</v>
      </c>
      <c r="H46" s="211"/>
      <c r="I46" s="211"/>
      <c r="K46" s="211"/>
      <c r="M46" s="36"/>
      <c r="N46" s="36"/>
      <c r="O46" s="36"/>
      <c r="P46" s="36"/>
      <c r="Q46" s="211"/>
      <c r="R46" s="211"/>
      <c r="S46" s="211"/>
      <c r="T46" s="211"/>
      <c r="U46" s="211"/>
      <c r="V46" s="211"/>
    </row>
    <row r="47" spans="1:22" s="25" customFormat="1" x14ac:dyDescent="0.2">
      <c r="A47" s="245" t="s">
        <v>133</v>
      </c>
      <c r="B47" s="55"/>
      <c r="C47" s="122"/>
      <c r="D47" s="122"/>
      <c r="E47" s="122"/>
      <c r="F47" s="123"/>
      <c r="G47" s="268">
        <f t="shared" si="0"/>
        <v>34</v>
      </c>
      <c r="H47" s="211"/>
      <c r="I47" s="211"/>
      <c r="K47" s="211"/>
      <c r="L47" s="299"/>
      <c r="M47" s="298"/>
      <c r="N47" s="299"/>
      <c r="O47" s="299"/>
      <c r="P47" s="81"/>
      <c r="Q47" s="211"/>
      <c r="R47" s="211"/>
      <c r="S47" s="211"/>
      <c r="T47" s="211"/>
      <c r="U47" s="211"/>
      <c r="V47" s="211"/>
    </row>
    <row r="48" spans="1:22" s="25" customFormat="1" ht="12" x14ac:dyDescent="0.2">
      <c r="A48" s="147" t="s">
        <v>134</v>
      </c>
      <c r="B48" s="456">
        <f>B$35*2</f>
        <v>2.5719769673704413</v>
      </c>
      <c r="C48" s="456">
        <f>C$35*2</f>
        <v>3.047984644913627</v>
      </c>
      <c r="D48" s="456">
        <f>D$35*2</f>
        <v>3.523992322456813</v>
      </c>
      <c r="E48" s="456">
        <f>E$35*2</f>
        <v>4</v>
      </c>
      <c r="F48" s="456">
        <f>F$35*2</f>
        <v>2.4</v>
      </c>
      <c r="G48" s="268">
        <f t="shared" si="0"/>
        <v>35</v>
      </c>
      <c r="H48" s="211"/>
      <c r="I48" s="211"/>
      <c r="K48" s="211"/>
      <c r="L48" s="299"/>
      <c r="M48" s="299"/>
      <c r="N48" s="299"/>
      <c r="O48" s="299"/>
      <c r="P48" s="299"/>
      <c r="Q48" s="211"/>
      <c r="R48" s="211"/>
      <c r="S48" s="211"/>
      <c r="T48" s="211"/>
      <c r="U48" s="211"/>
      <c r="V48" s="211"/>
    </row>
    <row r="49" spans="1:22" s="25" customFormat="1" ht="12" x14ac:dyDescent="0.2">
      <c r="A49" s="42" t="s">
        <v>135</v>
      </c>
      <c r="B49" s="451">
        <f>B$33*B48</f>
        <v>1.2403247851282599</v>
      </c>
      <c r="C49" s="451">
        <f>C$33*C48</f>
        <v>1.7419144491804843</v>
      </c>
      <c r="D49" s="451">
        <f>D$33*D48</f>
        <v>2.3284728541377304</v>
      </c>
      <c r="E49" s="451">
        <f>E$33*E48</f>
        <v>3</v>
      </c>
      <c r="F49" s="451">
        <f>F$33*F48</f>
        <v>1.0799999999999998</v>
      </c>
      <c r="G49" s="268">
        <f t="shared" si="0"/>
        <v>36</v>
      </c>
      <c r="H49" s="211"/>
      <c r="I49" s="211"/>
      <c r="J49" s="211"/>
      <c r="K49" s="211"/>
      <c r="L49" s="299"/>
      <c r="M49" s="669"/>
      <c r="N49" s="669"/>
      <c r="O49" s="655"/>
      <c r="P49" s="299"/>
      <c r="Q49" s="211"/>
      <c r="R49" s="211"/>
      <c r="S49" s="211"/>
      <c r="T49" s="211"/>
      <c r="U49" s="211"/>
      <c r="V49" s="211"/>
    </row>
    <row r="50" spans="1:22" s="25" customFormat="1" ht="12" x14ac:dyDescent="0.2">
      <c r="A50" s="147" t="s">
        <v>136</v>
      </c>
      <c r="B50" s="457">
        <f>B$35*1</f>
        <v>1.2859884836852207</v>
      </c>
      <c r="C50" s="457">
        <f>C$35*1</f>
        <v>1.5239923224568135</v>
      </c>
      <c r="D50" s="457">
        <f>D$35*1</f>
        <v>1.7619961612284065</v>
      </c>
      <c r="E50" s="457">
        <f>E$35*1</f>
        <v>2</v>
      </c>
      <c r="F50" s="457">
        <f>F$35*1</f>
        <v>1.2</v>
      </c>
      <c r="G50" s="268">
        <f t="shared" si="0"/>
        <v>37</v>
      </c>
      <c r="H50" s="211"/>
      <c r="I50" s="211"/>
      <c r="J50" s="211"/>
      <c r="K50" s="211"/>
      <c r="L50" s="299"/>
      <c r="M50" s="295"/>
      <c r="N50" s="280"/>
      <c r="O50" s="280"/>
      <c r="P50" s="299"/>
      <c r="Q50" s="211"/>
      <c r="R50" s="211"/>
      <c r="S50" s="211"/>
      <c r="T50" s="211"/>
      <c r="U50" s="211"/>
      <c r="V50" s="211"/>
    </row>
    <row r="51" spans="1:22" s="25" customFormat="1" ht="12" x14ac:dyDescent="0.2">
      <c r="A51" s="42" t="s">
        <v>137</v>
      </c>
      <c r="B51" s="458">
        <f>B$33*B50</f>
        <v>0.62016239256412997</v>
      </c>
      <c r="C51" s="458">
        <f>C$33*C50</f>
        <v>0.87095722459024216</v>
      </c>
      <c r="D51" s="458">
        <f>D$33*D50</f>
        <v>1.1642364270688652</v>
      </c>
      <c r="E51" s="458">
        <f>E$33*E50</f>
        <v>1.5</v>
      </c>
      <c r="F51" s="458">
        <f>F$33*F50</f>
        <v>0.53999999999999992</v>
      </c>
      <c r="G51" s="268">
        <f t="shared" si="0"/>
        <v>38</v>
      </c>
      <c r="H51" s="211"/>
      <c r="I51" s="211"/>
      <c r="J51" s="211"/>
      <c r="K51" s="211"/>
      <c r="L51" s="299"/>
      <c r="M51" s="300"/>
      <c r="N51" s="280"/>
      <c r="O51" s="280"/>
      <c r="P51" s="299"/>
      <c r="Q51" s="211"/>
      <c r="R51" s="211"/>
      <c r="S51" s="211"/>
      <c r="T51" s="211"/>
      <c r="U51" s="211"/>
      <c r="V51" s="211"/>
    </row>
    <row r="52" spans="1:22" s="25" customFormat="1" ht="12" x14ac:dyDescent="0.2">
      <c r="A52" s="147" t="s">
        <v>138</v>
      </c>
      <c r="B52" s="457">
        <v>1</v>
      </c>
      <c r="C52" s="457">
        <v>2</v>
      </c>
      <c r="D52" s="457">
        <v>1</v>
      </c>
      <c r="E52" s="457">
        <f>E$35*1</f>
        <v>2</v>
      </c>
      <c r="F52" s="457">
        <f>F$35*1</f>
        <v>1.2</v>
      </c>
      <c r="G52" s="268">
        <f t="shared" si="0"/>
        <v>39</v>
      </c>
      <c r="J52" s="211"/>
      <c r="K52" s="211"/>
      <c r="L52" s="295"/>
      <c r="M52" s="295"/>
      <c r="N52" s="280"/>
      <c r="O52" s="280"/>
      <c r="P52" s="299"/>
      <c r="Q52" s="211"/>
      <c r="R52" s="211"/>
      <c r="S52" s="211"/>
      <c r="T52" s="211"/>
      <c r="U52" s="211"/>
      <c r="V52" s="211"/>
    </row>
    <row r="53" spans="1:22" s="25" customFormat="1" ht="12" x14ac:dyDescent="0.2">
      <c r="A53" s="42" t="s">
        <v>139</v>
      </c>
      <c r="B53" s="458">
        <f>B$33*B52</f>
        <v>0.48224568138195778</v>
      </c>
      <c r="C53" s="458">
        <f>C$33*C52</f>
        <v>1.1429942418426102</v>
      </c>
      <c r="D53" s="458">
        <f>D$33*D52</f>
        <v>0.66074856046065245</v>
      </c>
      <c r="E53" s="458">
        <f>E$33*E52</f>
        <v>1.5</v>
      </c>
      <c r="F53" s="458">
        <f>F$33*F52</f>
        <v>0.53999999999999992</v>
      </c>
      <c r="G53" s="268">
        <f t="shared" si="0"/>
        <v>40</v>
      </c>
      <c r="J53" s="211"/>
      <c r="K53" s="211"/>
      <c r="L53" s="295"/>
      <c r="M53" s="300"/>
      <c r="N53" s="280"/>
      <c r="O53" s="280"/>
      <c r="P53" s="299"/>
      <c r="Q53" s="211"/>
      <c r="R53" s="211"/>
      <c r="S53" s="211"/>
      <c r="T53" s="211"/>
      <c r="U53" s="211"/>
      <c r="V53" s="211"/>
    </row>
    <row r="54" spans="1:22" s="25" customFormat="1" ht="12" x14ac:dyDescent="0.2">
      <c r="A54" s="147" t="s">
        <v>140</v>
      </c>
      <c r="B54" s="457">
        <v>0</v>
      </c>
      <c r="C54" s="457">
        <v>0</v>
      </c>
      <c r="D54" s="457">
        <v>1.6</v>
      </c>
      <c r="E54" s="457">
        <v>2</v>
      </c>
      <c r="F54" s="457">
        <v>0</v>
      </c>
      <c r="G54" s="268">
        <f t="shared" si="0"/>
        <v>41</v>
      </c>
      <c r="I54" s="303"/>
      <c r="J54" s="211"/>
      <c r="K54" s="211"/>
      <c r="L54" s="295"/>
      <c r="M54" s="295"/>
      <c r="N54" s="280"/>
      <c r="O54" s="280"/>
      <c r="P54" s="299"/>
      <c r="Q54" s="211"/>
      <c r="R54" s="211"/>
      <c r="S54" s="211"/>
      <c r="T54" s="211"/>
      <c r="U54" s="211"/>
      <c r="V54" s="211"/>
    </row>
    <row r="55" spans="1:22" s="25" customFormat="1" ht="12" x14ac:dyDescent="0.2">
      <c r="A55" s="42" t="s">
        <v>141</v>
      </c>
      <c r="B55" s="458">
        <v>0</v>
      </c>
      <c r="C55" s="458">
        <v>0</v>
      </c>
      <c r="D55" s="458">
        <v>1</v>
      </c>
      <c r="E55" s="458">
        <v>1.5</v>
      </c>
      <c r="F55" s="458">
        <v>0</v>
      </c>
      <c r="G55" s="268">
        <f t="shared" si="0"/>
        <v>42</v>
      </c>
      <c r="J55" s="211"/>
      <c r="K55" s="211"/>
      <c r="L55" s="295"/>
      <c r="M55" s="300"/>
      <c r="N55" s="280"/>
      <c r="O55" s="280"/>
      <c r="P55" s="299"/>
      <c r="Q55" s="211"/>
      <c r="R55" s="211"/>
      <c r="S55" s="211"/>
      <c r="T55" s="211"/>
      <c r="U55" s="211"/>
      <c r="V55" s="211"/>
    </row>
    <row r="56" spans="1:22" s="25" customFormat="1" ht="12" x14ac:dyDescent="0.2">
      <c r="A56" s="147" t="s">
        <v>142</v>
      </c>
      <c r="B56" s="457">
        <v>0</v>
      </c>
      <c r="C56" s="457">
        <v>0</v>
      </c>
      <c r="D56" s="457">
        <v>1.6</v>
      </c>
      <c r="E56" s="457">
        <v>2</v>
      </c>
      <c r="F56" s="457">
        <v>0</v>
      </c>
      <c r="G56" s="268">
        <f t="shared" si="0"/>
        <v>43</v>
      </c>
      <c r="I56" s="303"/>
      <c r="J56" s="210"/>
      <c r="K56" s="214"/>
      <c r="L56" s="295"/>
      <c r="M56" s="295"/>
      <c r="N56" s="280"/>
      <c r="O56" s="280"/>
      <c r="P56" s="299"/>
      <c r="Q56" s="211"/>
      <c r="R56" s="211"/>
      <c r="S56" s="211"/>
      <c r="T56" s="211"/>
      <c r="U56" s="211"/>
      <c r="V56" s="211"/>
    </row>
    <row r="57" spans="1:22" s="25" customFormat="1" ht="12" x14ac:dyDescent="0.2">
      <c r="A57" s="42" t="s">
        <v>143</v>
      </c>
      <c r="B57" s="458">
        <v>0</v>
      </c>
      <c r="C57" s="458">
        <v>0</v>
      </c>
      <c r="D57" s="458">
        <v>1</v>
      </c>
      <c r="E57" s="458">
        <v>1.5</v>
      </c>
      <c r="F57" s="458">
        <v>0</v>
      </c>
      <c r="G57" s="268">
        <f t="shared" si="0"/>
        <v>44</v>
      </c>
      <c r="J57" s="211"/>
      <c r="K57" s="215"/>
      <c r="L57" s="295"/>
      <c r="M57" s="300"/>
      <c r="N57" s="280"/>
      <c r="O57" s="280"/>
      <c r="P57" s="299"/>
      <c r="Q57" s="211"/>
      <c r="R57" s="211"/>
      <c r="S57" s="211"/>
      <c r="T57" s="211"/>
      <c r="U57" s="211"/>
      <c r="V57" s="211"/>
    </row>
    <row r="58" spans="1:22" s="25" customFormat="1" ht="12" x14ac:dyDescent="0.2">
      <c r="A58" s="147" t="s">
        <v>144</v>
      </c>
      <c r="B58" s="457">
        <f>B$35*1</f>
        <v>1.2859884836852207</v>
      </c>
      <c r="C58" s="457">
        <f>C$35*1</f>
        <v>1.5239923224568135</v>
      </c>
      <c r="D58" s="457">
        <v>1</v>
      </c>
      <c r="E58" s="457">
        <f>E$35*1</f>
        <v>2</v>
      </c>
      <c r="F58" s="457">
        <f>F$35*1</f>
        <v>1.2</v>
      </c>
      <c r="G58" s="268">
        <f t="shared" si="0"/>
        <v>45</v>
      </c>
      <c r="I58" s="303"/>
      <c r="J58" s="210"/>
      <c r="K58" s="215"/>
      <c r="L58" s="295"/>
      <c r="M58" s="295"/>
      <c r="N58" s="280"/>
      <c r="O58" s="280"/>
      <c r="P58" s="299"/>
      <c r="Q58" s="211"/>
      <c r="R58" s="211"/>
      <c r="S58" s="211"/>
      <c r="T58" s="211"/>
      <c r="U58" s="211"/>
      <c r="V58" s="211"/>
    </row>
    <row r="59" spans="1:22" s="25" customFormat="1" ht="12" x14ac:dyDescent="0.2">
      <c r="A59" s="42" t="s">
        <v>145</v>
      </c>
      <c r="B59" s="458">
        <f>B$33*B58</f>
        <v>0.62016239256412997</v>
      </c>
      <c r="C59" s="458">
        <f>C$33*C58</f>
        <v>0.87095722459024216</v>
      </c>
      <c r="D59" s="458">
        <f>D$33*D58</f>
        <v>0.66074856046065245</v>
      </c>
      <c r="E59" s="458">
        <f>E$33*E58</f>
        <v>1.5</v>
      </c>
      <c r="F59" s="458">
        <f>F$33*F58</f>
        <v>0.53999999999999992</v>
      </c>
      <c r="G59" s="268">
        <f t="shared" si="0"/>
        <v>46</v>
      </c>
      <c r="J59" s="211"/>
      <c r="K59" s="172"/>
      <c r="L59" s="295"/>
      <c r="M59" s="300"/>
      <c r="N59" s="280"/>
      <c r="O59" s="280"/>
      <c r="P59" s="299"/>
      <c r="Q59" s="211"/>
      <c r="R59" s="211"/>
      <c r="S59" s="211"/>
      <c r="T59" s="211"/>
      <c r="U59" s="211"/>
      <c r="V59" s="211"/>
    </row>
    <row r="60" spans="1:22" s="25" customFormat="1" x14ac:dyDescent="0.2">
      <c r="A60" s="245" t="s">
        <v>146</v>
      </c>
      <c r="B60" s="118"/>
      <c r="C60" s="119"/>
      <c r="D60" s="119"/>
      <c r="E60" s="119"/>
      <c r="F60" s="120"/>
      <c r="G60" s="180"/>
      <c r="I60" s="303"/>
      <c r="J60" s="175"/>
      <c r="K60" s="176"/>
      <c r="L60" s="295"/>
      <c r="M60" s="295"/>
      <c r="N60" s="280"/>
      <c r="O60" s="280"/>
      <c r="P60" s="299"/>
      <c r="Q60" s="211"/>
      <c r="R60" s="211"/>
      <c r="S60" s="211"/>
      <c r="T60" s="211"/>
      <c r="U60" s="211"/>
      <c r="V60" s="211"/>
    </row>
    <row r="61" spans="1:22" s="25" customFormat="1" ht="12" x14ac:dyDescent="0.2">
      <c r="A61" s="173" t="str">
        <f t="shared" ref="A61:A74" si="18">A104</f>
        <v>Pilot Upper Limit</v>
      </c>
      <c r="B61" s="174">
        <f>$B$104</f>
        <v>6</v>
      </c>
      <c r="C61" s="174">
        <f>$B$104</f>
        <v>6</v>
      </c>
      <c r="D61" s="174">
        <f>$B$104</f>
        <v>6</v>
      </c>
      <c r="E61" s="174">
        <f>$B$104</f>
        <v>6</v>
      </c>
      <c r="F61" s="174">
        <f>$B$104</f>
        <v>6</v>
      </c>
      <c r="G61" s="172"/>
      <c r="J61" s="211"/>
      <c r="K61" s="211"/>
      <c r="L61" s="295"/>
      <c r="M61" s="300"/>
      <c r="N61" s="280"/>
      <c r="O61" s="280"/>
      <c r="P61" s="299"/>
      <c r="Q61" s="211"/>
      <c r="R61" s="211"/>
      <c r="S61" s="211"/>
      <c r="T61" s="211"/>
      <c r="U61" s="211"/>
      <c r="V61" s="211"/>
    </row>
    <row r="62" spans="1:22" s="25" customFormat="1" ht="12" x14ac:dyDescent="0.2">
      <c r="A62" s="177" t="str">
        <f t="shared" si="18"/>
        <v>Pilot Lower Limit</v>
      </c>
      <c r="B62" s="178">
        <f>ROUNDUP(IF(B$13="Deploy",MAX((B$98/100)*$B104,$B104),(B$98/100)*$B104),0)</f>
        <v>1</v>
      </c>
      <c r="C62" s="178">
        <f>ROUNDUP(IF(C$13="Deploy",MAX((C$98/100)*$B104,$B104),(C$98/100)*$B104),0)</f>
        <v>2</v>
      </c>
      <c r="D62" s="178">
        <f>ROUNDUP(IF(D$13="Deploy",MAX((D$98/100)*$B104,$B104),(D$98/100)*$B104),0)</f>
        <v>5</v>
      </c>
      <c r="E62" s="178">
        <f>ROUNDUP(IF(E$13="Deploy",MAX((E$98/100)*$B104,$B104),(E$98/100)*$B104),0)</f>
        <v>6</v>
      </c>
      <c r="F62" s="178">
        <f>ROUNDUP(IF(F$13="Deploy",MAX((F$98/100)*$B104,$B104),(F$98/100)*$B104),0)</f>
        <v>3</v>
      </c>
      <c r="G62" s="172"/>
      <c r="I62" s="304"/>
      <c r="K62" s="176"/>
      <c r="L62" s="295"/>
      <c r="M62" s="655"/>
      <c r="N62" s="655"/>
      <c r="O62" s="655"/>
      <c r="P62" s="299"/>
      <c r="Q62" s="211"/>
      <c r="R62" s="211"/>
      <c r="S62" s="211"/>
      <c r="T62" s="211"/>
      <c r="U62" s="211"/>
      <c r="V62" s="211"/>
    </row>
    <row r="63" spans="1:22" s="25" customFormat="1" ht="12" x14ac:dyDescent="0.2">
      <c r="A63" s="173" t="str">
        <f t="shared" si="18"/>
        <v>Aircrew Upper Limit</v>
      </c>
      <c r="B63" s="179">
        <f>$B$106</f>
        <v>14</v>
      </c>
      <c r="C63" s="179">
        <f>$B$106</f>
        <v>14</v>
      </c>
      <c r="D63" s="179">
        <f>$B$106</f>
        <v>14</v>
      </c>
      <c r="E63" s="179">
        <f>$B$106</f>
        <v>14</v>
      </c>
      <c r="F63" s="179">
        <f>$B$106</f>
        <v>14</v>
      </c>
      <c r="G63" s="172"/>
      <c r="J63" s="176"/>
      <c r="K63" s="176"/>
      <c r="L63" s="299"/>
      <c r="M63" s="280"/>
      <c r="N63" s="280"/>
      <c r="O63" s="280"/>
      <c r="P63" s="299"/>
      <c r="Q63" s="211"/>
      <c r="R63" s="211"/>
      <c r="S63" s="211"/>
      <c r="T63" s="211"/>
      <c r="U63" s="211"/>
      <c r="V63" s="211"/>
    </row>
    <row r="64" spans="1:22" s="25" customFormat="1" ht="12" x14ac:dyDescent="0.2">
      <c r="A64" s="177" t="str">
        <f t="shared" si="18"/>
        <v>Aircrew Lower Limit</v>
      </c>
      <c r="B64" s="178">
        <f>ROUNDUP(IF(B$13="Deploy",MAX((B$98/100)*$B106,$B106),(B$98/100)*$B106),0)</f>
        <v>1</v>
      </c>
      <c r="C64" s="178">
        <f>ROUNDUP(IF(C$13="Deploy",MAX((C$98/100)*$B106,$B106),(C$98/100)*$B106),0)</f>
        <v>3</v>
      </c>
      <c r="D64" s="178">
        <f>ROUNDUP(IF(D$13="Deploy",MAX((D$98/100)*$B106,$B106),(D$98/100)*$B106),0)</f>
        <v>12</v>
      </c>
      <c r="E64" s="178">
        <f>ROUNDUP(IF(E$13="Deploy",MAX((E$98/100)*$B106,$B106),(E$98/100)*$B106),0)</f>
        <v>14</v>
      </c>
      <c r="F64" s="178">
        <f>ROUNDUP(IF(F$13="Deploy",MAX((F$98/100)*$B106,$B106),(F$98/100)*$B106),0)</f>
        <v>6</v>
      </c>
      <c r="G64" s="172"/>
      <c r="H64" s="180"/>
      <c r="J64" s="176"/>
      <c r="K64" s="176"/>
      <c r="L64" s="299"/>
      <c r="M64" s="299"/>
      <c r="N64" s="299"/>
      <c r="O64" s="299"/>
      <c r="P64" s="299"/>
      <c r="Q64" s="211"/>
      <c r="R64" s="211"/>
      <c r="S64" s="211"/>
      <c r="T64" s="211"/>
      <c r="U64" s="211"/>
      <c r="V64" s="211"/>
    </row>
    <row r="65" spans="1:22" s="25" customFormat="1" ht="12" x14ac:dyDescent="0.2">
      <c r="A65" s="177" t="str">
        <f t="shared" si="18"/>
        <v>&gt;= ACTC LEVEL 3 PILOT - MIW</v>
      </c>
      <c r="B65" s="178">
        <f t="shared" ref="B65:F75" si="19">ROUNDUP(IF(B$13="Deploy",MAX((B$98/100)*$B108,$B108),(B$98/100)*$B108),0)</f>
        <v>1</v>
      </c>
      <c r="C65" s="178">
        <f t="shared" si="19"/>
        <v>1</v>
      </c>
      <c r="D65" s="178">
        <f t="shared" si="19"/>
        <v>3</v>
      </c>
      <c r="E65" s="178">
        <f t="shared" si="19"/>
        <v>3</v>
      </c>
      <c r="F65" s="178">
        <f t="shared" si="19"/>
        <v>2</v>
      </c>
      <c r="G65" s="172"/>
      <c r="H65" s="172"/>
      <c r="I65" s="172"/>
      <c r="J65" s="176"/>
      <c r="K65" s="176"/>
      <c r="L65" s="81"/>
      <c r="M65" s="299"/>
      <c r="N65" s="280"/>
      <c r="O65" s="280"/>
      <c r="P65" s="299"/>
      <c r="Q65" s="211"/>
      <c r="R65" s="211"/>
      <c r="S65" s="211"/>
      <c r="T65" s="211"/>
      <c r="U65" s="211"/>
      <c r="V65" s="211"/>
    </row>
    <row r="66" spans="1:22" s="25" customFormat="1" ht="12" x14ac:dyDescent="0.2">
      <c r="A66" s="177" t="str">
        <f t="shared" si="18"/>
        <v>&gt;= ACTC LEVEL 3 PILOT - MOB/LOG</v>
      </c>
      <c r="B66" s="178">
        <f t="shared" si="19"/>
        <v>1</v>
      </c>
      <c r="C66" s="178">
        <f t="shared" si="19"/>
        <v>1</v>
      </c>
      <c r="D66" s="178">
        <f t="shared" si="19"/>
        <v>3</v>
      </c>
      <c r="E66" s="178">
        <f t="shared" si="19"/>
        <v>3</v>
      </c>
      <c r="F66" s="178">
        <f t="shared" si="19"/>
        <v>2</v>
      </c>
      <c r="G66" s="172"/>
      <c r="H66" s="172"/>
      <c r="I66" s="172"/>
      <c r="J66" s="176"/>
      <c r="K66" s="176"/>
      <c r="L66" s="299"/>
      <c r="M66" s="299"/>
      <c r="N66" s="299"/>
      <c r="O66" s="299"/>
      <c r="P66" s="299"/>
      <c r="Q66" s="211"/>
      <c r="R66" s="211"/>
      <c r="S66" s="211"/>
      <c r="T66" s="211"/>
      <c r="U66" s="211"/>
      <c r="V66" s="211"/>
    </row>
    <row r="67" spans="1:22" s="25" customFormat="1" ht="12" x14ac:dyDescent="0.2">
      <c r="A67" s="177" t="str">
        <f t="shared" si="18"/>
        <v>&gt;= ACTC LEVEL 3 NAC - MIW</v>
      </c>
      <c r="B67" s="178">
        <f t="shared" si="19"/>
        <v>1</v>
      </c>
      <c r="C67" s="178">
        <f t="shared" si="19"/>
        <v>1</v>
      </c>
      <c r="D67" s="178">
        <f t="shared" si="19"/>
        <v>3</v>
      </c>
      <c r="E67" s="178">
        <f t="shared" si="19"/>
        <v>3</v>
      </c>
      <c r="F67" s="178">
        <f t="shared" si="19"/>
        <v>2</v>
      </c>
      <c r="G67" s="172"/>
      <c r="H67" s="172"/>
      <c r="I67" s="172"/>
      <c r="K67" s="176"/>
      <c r="L67" s="295"/>
      <c r="M67" s="300"/>
      <c r="N67" s="280"/>
      <c r="O67" s="280"/>
      <c r="P67" s="299"/>
      <c r="Q67" s="211"/>
      <c r="R67" s="211"/>
      <c r="S67" s="211"/>
      <c r="T67" s="211"/>
      <c r="U67" s="211"/>
      <c r="V67" s="211"/>
    </row>
    <row r="68" spans="1:22" s="25" customFormat="1" ht="12" x14ac:dyDescent="0.2">
      <c r="A68" s="177" t="str">
        <f t="shared" si="18"/>
        <v>&gt;= ACTC LEVEL 3 NAC - MOB/LOG</v>
      </c>
      <c r="B68" s="178">
        <f t="shared" si="19"/>
        <v>1</v>
      </c>
      <c r="C68" s="178">
        <f t="shared" si="19"/>
        <v>1</v>
      </c>
      <c r="D68" s="178">
        <f t="shared" si="19"/>
        <v>3</v>
      </c>
      <c r="E68" s="178">
        <f t="shared" si="19"/>
        <v>3</v>
      </c>
      <c r="F68" s="178">
        <f t="shared" si="19"/>
        <v>2</v>
      </c>
      <c r="G68" s="172"/>
      <c r="H68" s="172"/>
      <c r="I68" s="172"/>
      <c r="K68" s="176"/>
      <c r="L68" s="299"/>
      <c r="M68" s="300"/>
      <c r="N68" s="280"/>
      <c r="O68" s="280"/>
      <c r="P68" s="299"/>
      <c r="Q68" s="211"/>
      <c r="R68" s="211"/>
      <c r="S68" s="211"/>
      <c r="T68" s="211"/>
      <c r="U68" s="211"/>
      <c r="V68" s="211"/>
    </row>
    <row r="69" spans="1:22" s="25" customFormat="1" x14ac:dyDescent="0.2">
      <c r="A69" s="177" t="str">
        <f t="shared" si="18"/>
        <v>&gt;= ACTC LEVEL 2 PILOT</v>
      </c>
      <c r="B69" s="178">
        <f t="shared" si="19"/>
        <v>1</v>
      </c>
      <c r="C69" s="178">
        <f t="shared" si="19"/>
        <v>1</v>
      </c>
      <c r="D69" s="178">
        <f t="shared" si="19"/>
        <v>3</v>
      </c>
      <c r="E69" s="178">
        <f t="shared" si="19"/>
        <v>3</v>
      </c>
      <c r="F69" s="178">
        <f t="shared" si="19"/>
        <v>2</v>
      </c>
      <c r="G69" s="172"/>
      <c r="H69" s="172"/>
      <c r="K69" s="176"/>
      <c r="L69" s="299"/>
      <c r="M69" s="299"/>
      <c r="N69" s="280"/>
      <c r="O69" s="114"/>
      <c r="P69" s="105"/>
      <c r="Q69" s="211"/>
      <c r="R69" s="211"/>
      <c r="S69" s="211"/>
      <c r="T69" s="211"/>
      <c r="U69" s="211"/>
      <c r="V69" s="211"/>
    </row>
    <row r="70" spans="1:22" s="25" customFormat="1" x14ac:dyDescent="0.2">
      <c r="A70" s="177" t="str">
        <f t="shared" si="18"/>
        <v>&gt;= ACTC LEVEL 2 NAC</v>
      </c>
      <c r="B70" s="178">
        <f t="shared" si="19"/>
        <v>1</v>
      </c>
      <c r="C70" s="178">
        <f t="shared" si="19"/>
        <v>1</v>
      </c>
      <c r="D70" s="178">
        <f t="shared" si="19"/>
        <v>3</v>
      </c>
      <c r="E70" s="178">
        <f t="shared" si="19"/>
        <v>3</v>
      </c>
      <c r="F70" s="178">
        <f t="shared" si="19"/>
        <v>2</v>
      </c>
      <c r="G70" s="172"/>
      <c r="H70" s="172"/>
      <c r="K70" s="176"/>
      <c r="L70" s="295"/>
      <c r="M70" s="81"/>
      <c r="N70" s="81"/>
      <c r="O70" s="256"/>
      <c r="P70" s="105"/>
      <c r="Q70" s="211"/>
      <c r="R70" s="211"/>
      <c r="S70" s="211"/>
      <c r="T70" s="211"/>
      <c r="U70" s="211"/>
      <c r="V70" s="211"/>
    </row>
    <row r="71" spans="1:22" s="25" customFormat="1" x14ac:dyDescent="0.2">
      <c r="A71" s="177" t="str">
        <f t="shared" si="18"/>
        <v>&gt;= ACTC LEVEL 1 PILOT</v>
      </c>
      <c r="B71" s="178">
        <f t="shared" si="19"/>
        <v>1</v>
      </c>
      <c r="C71" s="178">
        <f t="shared" si="19"/>
        <v>2</v>
      </c>
      <c r="D71" s="178">
        <f t="shared" si="19"/>
        <v>5</v>
      </c>
      <c r="E71" s="178">
        <f t="shared" si="19"/>
        <v>6</v>
      </c>
      <c r="F71" s="178">
        <f t="shared" si="19"/>
        <v>3</v>
      </c>
      <c r="G71" s="172"/>
      <c r="H71" s="172"/>
      <c r="K71" s="176"/>
      <c r="L71" s="295"/>
      <c r="M71" s="81"/>
      <c r="N71" s="81"/>
      <c r="O71" s="83"/>
      <c r="P71" s="105"/>
      <c r="Q71" s="211"/>
      <c r="R71" s="211"/>
      <c r="S71" s="211"/>
      <c r="T71" s="211"/>
      <c r="U71" s="211"/>
      <c r="V71" s="211"/>
    </row>
    <row r="72" spans="1:22" s="25" customFormat="1" x14ac:dyDescent="0.2">
      <c r="A72" s="177" t="str">
        <f t="shared" si="18"/>
        <v>&gt;= ACTC LEVEL 1 NAC</v>
      </c>
      <c r="B72" s="178">
        <f t="shared" si="19"/>
        <v>1</v>
      </c>
      <c r="C72" s="178">
        <f t="shared" si="19"/>
        <v>3</v>
      </c>
      <c r="D72" s="178">
        <f t="shared" si="19"/>
        <v>12</v>
      </c>
      <c r="E72" s="178">
        <f t="shared" si="19"/>
        <v>15</v>
      </c>
      <c r="F72" s="178">
        <f t="shared" si="19"/>
        <v>6</v>
      </c>
      <c r="G72" s="172"/>
      <c r="H72" s="172"/>
      <c r="K72" s="176"/>
      <c r="L72" s="81"/>
      <c r="M72" s="83"/>
      <c r="N72" s="83"/>
      <c r="O72" s="83"/>
      <c r="P72" s="105"/>
      <c r="Q72" s="211"/>
      <c r="R72" s="211"/>
      <c r="S72" s="211"/>
      <c r="T72" s="211"/>
      <c r="U72" s="211"/>
      <c r="V72" s="211"/>
    </row>
    <row r="73" spans="1:22" s="25" customFormat="1" ht="12" x14ac:dyDescent="0.2">
      <c r="A73" s="177" t="str">
        <f t="shared" si="18"/>
        <v>Q24 Controller Qualified Crewmen</v>
      </c>
      <c r="B73" s="178">
        <f t="shared" si="19"/>
        <v>1</v>
      </c>
      <c r="C73" s="178">
        <f t="shared" si="19"/>
        <v>1</v>
      </c>
      <c r="D73" s="178">
        <f t="shared" si="19"/>
        <v>3</v>
      </c>
      <c r="E73" s="178">
        <f t="shared" si="19"/>
        <v>3</v>
      </c>
      <c r="F73" s="178">
        <f t="shared" si="19"/>
        <v>2</v>
      </c>
      <c r="G73" s="172"/>
      <c r="H73" s="172"/>
      <c r="K73" s="176"/>
      <c r="L73" s="83"/>
      <c r="M73" s="83"/>
      <c r="N73" s="83"/>
      <c r="O73" s="83"/>
      <c r="P73" s="83"/>
      <c r="Q73" s="211"/>
      <c r="R73" s="211"/>
      <c r="S73" s="211"/>
      <c r="T73" s="211"/>
      <c r="U73" s="211"/>
      <c r="V73" s="211"/>
    </row>
    <row r="74" spans="1:22" s="25" customFormat="1" ht="12" x14ac:dyDescent="0.2">
      <c r="A74" s="177" t="str">
        <f t="shared" si="18"/>
        <v>AMNS Controller Qualified Crewmen</v>
      </c>
      <c r="B74" s="178">
        <f t="shared" si="19"/>
        <v>1</v>
      </c>
      <c r="C74" s="178">
        <f t="shared" si="19"/>
        <v>1</v>
      </c>
      <c r="D74" s="178">
        <f t="shared" si="19"/>
        <v>1</v>
      </c>
      <c r="E74" s="178">
        <f t="shared" si="19"/>
        <v>1</v>
      </c>
      <c r="F74" s="178">
        <f t="shared" si="19"/>
        <v>1</v>
      </c>
      <c r="G74" s="172"/>
      <c r="H74" s="172"/>
      <c r="K74" s="176"/>
      <c r="L74" s="83"/>
      <c r="M74" s="236"/>
      <c r="N74" s="236"/>
      <c r="O74" s="236"/>
      <c r="P74" s="83"/>
      <c r="Q74" s="211"/>
      <c r="R74" s="211"/>
      <c r="S74" s="211"/>
      <c r="T74" s="211"/>
      <c r="U74" s="211"/>
      <c r="V74" s="211"/>
    </row>
    <row r="75" spans="1:22" s="25" customFormat="1" ht="12" x14ac:dyDescent="0.2">
      <c r="A75" s="177" t="str">
        <f>A118</f>
        <v>Required Skilled Crews</v>
      </c>
      <c r="B75" s="178">
        <f t="shared" si="19"/>
        <v>1</v>
      </c>
      <c r="C75" s="178">
        <f t="shared" si="19"/>
        <v>1</v>
      </c>
      <c r="D75" s="178">
        <f t="shared" si="19"/>
        <v>2</v>
      </c>
      <c r="E75" s="178">
        <f t="shared" si="19"/>
        <v>2</v>
      </c>
      <c r="F75" s="178">
        <f t="shared" si="19"/>
        <v>1</v>
      </c>
      <c r="G75" s="172"/>
      <c r="H75" s="172"/>
      <c r="K75" s="176"/>
      <c r="L75" s="83"/>
      <c r="M75" s="236"/>
      <c r="N75" s="236"/>
      <c r="O75" s="236"/>
      <c r="P75" s="83"/>
      <c r="Q75" s="211"/>
      <c r="R75" s="211"/>
      <c r="S75" s="211"/>
      <c r="T75" s="211"/>
      <c r="U75" s="211"/>
      <c r="V75" s="211"/>
    </row>
    <row r="76" spans="1:22" s="25" customFormat="1" ht="12" x14ac:dyDescent="0.2">
      <c r="A76" s="181"/>
      <c r="B76" s="181"/>
      <c r="C76" s="181"/>
      <c r="D76" s="181"/>
      <c r="E76" s="181"/>
      <c r="F76" s="182"/>
      <c r="G76" s="211"/>
      <c r="H76" s="172"/>
      <c r="K76" s="176"/>
      <c r="L76" s="236"/>
      <c r="M76" s="236"/>
      <c r="N76" s="236"/>
      <c r="O76" s="236"/>
      <c r="P76" s="83"/>
      <c r="Q76" s="211"/>
      <c r="R76" s="211"/>
      <c r="S76" s="211"/>
      <c r="T76" s="211"/>
      <c r="U76" s="211"/>
      <c r="V76" s="211"/>
    </row>
    <row r="77" spans="1:22" s="25" customFormat="1" ht="12" x14ac:dyDescent="0.2">
      <c r="B77" s="44"/>
      <c r="C77" s="36" t="s">
        <v>147</v>
      </c>
      <c r="D77" s="36"/>
      <c r="G77" s="211"/>
      <c r="H77" s="172"/>
      <c r="K77" s="176"/>
      <c r="L77" s="236"/>
      <c r="M77" s="236"/>
      <c r="N77" s="236"/>
      <c r="O77" s="236"/>
      <c r="P77" s="236"/>
      <c r="Q77" s="211"/>
      <c r="R77" s="211"/>
      <c r="S77" s="211"/>
      <c r="T77" s="211"/>
      <c r="U77" s="211"/>
      <c r="V77" s="211"/>
    </row>
    <row r="78" spans="1:22" s="25" customFormat="1" ht="12" x14ac:dyDescent="0.2">
      <c r="B78" s="45"/>
      <c r="C78" s="36" t="s">
        <v>148</v>
      </c>
      <c r="D78" s="36"/>
      <c r="G78" s="211"/>
      <c r="H78" s="172"/>
      <c r="J78" s="211"/>
      <c r="K78" s="211"/>
      <c r="L78" s="83"/>
      <c r="M78" s="236"/>
      <c r="N78" s="236"/>
      <c r="O78" s="236"/>
      <c r="P78" s="83"/>
      <c r="Q78" s="211"/>
      <c r="R78" s="211"/>
      <c r="S78" s="211"/>
      <c r="T78" s="211"/>
      <c r="U78" s="211"/>
      <c r="V78" s="211"/>
    </row>
    <row r="79" spans="1:22" s="25" customFormat="1" ht="12" x14ac:dyDescent="0.2">
      <c r="G79" s="211"/>
      <c r="H79" s="172"/>
      <c r="J79" s="211"/>
      <c r="K79" s="211"/>
      <c r="L79" s="236"/>
      <c r="M79" s="236"/>
      <c r="N79" s="236"/>
      <c r="O79" s="236"/>
      <c r="P79" s="83"/>
      <c r="Q79" s="211"/>
      <c r="R79" s="211"/>
      <c r="S79" s="211"/>
      <c r="T79" s="211"/>
      <c r="U79" s="211"/>
      <c r="V79" s="211"/>
    </row>
    <row r="80" spans="1:22" s="25" customFormat="1" ht="12" x14ac:dyDescent="0.2">
      <c r="A80" s="25" t="s">
        <v>204</v>
      </c>
      <c r="G80" s="211"/>
      <c r="H80" s="211"/>
      <c r="I80" s="211"/>
      <c r="J80" s="211"/>
      <c r="K80" s="211"/>
      <c r="L80" s="236"/>
      <c r="M80" s="236"/>
      <c r="N80" s="236"/>
      <c r="O80" s="236"/>
      <c r="P80" s="236"/>
      <c r="Q80" s="211"/>
      <c r="R80" s="211"/>
      <c r="S80" s="211"/>
      <c r="T80" s="211"/>
      <c r="U80" s="211"/>
      <c r="V80" s="211"/>
    </row>
    <row r="81" spans="1:22" s="25" customFormat="1" ht="12" x14ac:dyDescent="0.2">
      <c r="A81" s="25" t="s">
        <v>205</v>
      </c>
      <c r="G81" s="211"/>
      <c r="H81" s="211"/>
      <c r="I81" s="211"/>
      <c r="J81" s="211"/>
      <c r="K81" s="211"/>
      <c r="L81" s="236"/>
      <c r="M81" s="83"/>
      <c r="N81" s="83"/>
      <c r="O81" s="83"/>
      <c r="P81" s="236"/>
      <c r="Q81" s="211"/>
      <c r="R81" s="211"/>
      <c r="S81" s="211"/>
      <c r="T81" s="211"/>
      <c r="U81" s="211"/>
      <c r="V81" s="211"/>
    </row>
    <row r="82" spans="1:22" s="25" customFormat="1" ht="12" x14ac:dyDescent="0.2">
      <c r="A82" s="25" t="s">
        <v>206</v>
      </c>
      <c r="G82" s="211"/>
      <c r="H82" s="211"/>
      <c r="I82" s="211"/>
      <c r="J82" s="211"/>
      <c r="K82" s="211"/>
      <c r="L82" s="236"/>
      <c r="M82" s="83"/>
      <c r="N82" s="83"/>
      <c r="O82" s="83"/>
      <c r="P82" s="236"/>
      <c r="Q82" s="211"/>
      <c r="R82" s="211"/>
      <c r="S82" s="211"/>
      <c r="T82" s="211"/>
      <c r="U82" s="211"/>
      <c r="V82" s="211"/>
    </row>
    <row r="83" spans="1:22" s="25" customFormat="1" x14ac:dyDescent="0.2">
      <c r="A83" s="25" t="s">
        <v>207</v>
      </c>
      <c r="G83" s="211"/>
      <c r="H83" s="211"/>
      <c r="I83" s="211"/>
      <c r="J83" s="211"/>
      <c r="K83" s="211"/>
      <c r="L83" s="83"/>
      <c r="M83" s="301"/>
      <c r="N83" s="301"/>
      <c r="O83" s="301"/>
      <c r="P83" s="236"/>
      <c r="Q83" s="211"/>
      <c r="R83" s="211"/>
      <c r="S83" s="211"/>
      <c r="T83" s="211"/>
      <c r="U83" s="211"/>
      <c r="V83" s="211"/>
    </row>
    <row r="84" spans="1:22" s="25" customFormat="1" x14ac:dyDescent="0.2">
      <c r="A84" s="25" t="s">
        <v>208</v>
      </c>
      <c r="G84" s="211"/>
      <c r="H84" s="211"/>
      <c r="I84" s="211"/>
      <c r="J84" s="211"/>
      <c r="K84" s="211"/>
      <c r="L84" s="83"/>
      <c r="M84" s="301"/>
      <c r="N84" s="301"/>
      <c r="O84" s="301"/>
      <c r="P84" s="83"/>
      <c r="Q84" s="211"/>
      <c r="R84" s="211"/>
      <c r="S84" s="211"/>
      <c r="T84" s="211"/>
      <c r="U84" s="211"/>
      <c r="V84" s="211"/>
    </row>
    <row r="85" spans="1:22" s="25" customFormat="1" x14ac:dyDescent="0.2">
      <c r="A85" s="25" t="s">
        <v>209</v>
      </c>
      <c r="G85" s="211"/>
      <c r="H85" s="211"/>
      <c r="I85" s="211"/>
      <c r="J85" s="211"/>
      <c r="K85" s="211"/>
      <c r="L85" s="301"/>
      <c r="M85" s="301"/>
      <c r="N85" s="301"/>
      <c r="O85" s="301"/>
      <c r="P85" s="83"/>
      <c r="Q85" s="211"/>
      <c r="R85" s="211"/>
      <c r="S85" s="211"/>
      <c r="T85" s="211"/>
      <c r="U85" s="211"/>
      <c r="V85" s="211"/>
    </row>
    <row r="86" spans="1:22" s="25" customFormat="1" x14ac:dyDescent="0.2">
      <c r="A86" s="25" t="s">
        <v>210</v>
      </c>
      <c r="G86" s="198"/>
      <c r="H86" s="211"/>
      <c r="I86" s="211"/>
      <c r="J86" s="211"/>
      <c r="K86" s="211"/>
      <c r="L86" s="301"/>
      <c r="M86" s="301"/>
      <c r="N86" s="301"/>
      <c r="O86" s="301"/>
      <c r="P86" s="301"/>
      <c r="Q86" s="211"/>
      <c r="R86" s="211"/>
      <c r="S86" s="211"/>
      <c r="T86" s="211"/>
      <c r="U86" s="211"/>
      <c r="V86" s="211"/>
    </row>
    <row r="87" spans="1:22" s="25" customFormat="1" x14ac:dyDescent="0.2">
      <c r="A87" s="25" t="s">
        <v>211</v>
      </c>
      <c r="G87" s="183"/>
      <c r="H87" s="211"/>
      <c r="I87" s="211"/>
      <c r="J87" s="211"/>
      <c r="K87" s="211"/>
      <c r="L87" s="301"/>
      <c r="M87" s="83"/>
      <c r="N87" s="83"/>
      <c r="O87" s="83"/>
      <c r="P87" s="301"/>
      <c r="Q87" s="211"/>
      <c r="R87" s="211"/>
      <c r="S87" s="211"/>
      <c r="T87" s="211"/>
      <c r="U87" s="211"/>
      <c r="V87" s="211"/>
    </row>
    <row r="88" spans="1:22" s="25" customFormat="1" x14ac:dyDescent="0.2">
      <c r="A88" s="25" t="s">
        <v>212</v>
      </c>
      <c r="G88" s="183"/>
      <c r="H88" s="211"/>
      <c r="I88" s="211"/>
      <c r="J88" s="198"/>
      <c r="K88" s="198"/>
      <c r="L88" s="301"/>
      <c r="M88" s="289"/>
      <c r="N88" s="289"/>
      <c r="O88" s="289"/>
      <c r="P88" s="301"/>
      <c r="Q88" s="211"/>
      <c r="R88" s="211"/>
      <c r="S88" s="211"/>
      <c r="T88" s="211"/>
      <c r="U88" s="211"/>
      <c r="V88" s="211"/>
    </row>
    <row r="89" spans="1:22" s="25" customFormat="1" x14ac:dyDescent="0.2">
      <c r="A89" s="261" t="s">
        <v>213</v>
      </c>
      <c r="G89" s="258"/>
      <c r="H89" s="211"/>
      <c r="I89" s="211"/>
      <c r="J89" s="48"/>
      <c r="K89" s="48"/>
      <c r="L89" s="83"/>
      <c r="M89" s="83"/>
      <c r="N89" s="83"/>
      <c r="O89" s="83"/>
      <c r="P89" s="301"/>
      <c r="Q89" s="211"/>
      <c r="R89" s="211"/>
      <c r="S89" s="211"/>
      <c r="T89" s="211"/>
      <c r="U89" s="211"/>
      <c r="V89" s="211"/>
    </row>
    <row r="90" spans="1:22" s="25" customFormat="1" ht="12" x14ac:dyDescent="0.2">
      <c r="A90" s="211" t="s">
        <v>214</v>
      </c>
      <c r="G90" s="258"/>
      <c r="H90" s="198"/>
      <c r="I90" s="198"/>
      <c r="J90" s="48"/>
      <c r="K90" s="48"/>
      <c r="L90" s="289"/>
      <c r="M90" s="83"/>
      <c r="N90" s="83"/>
      <c r="O90" s="83"/>
      <c r="P90" s="83"/>
      <c r="Q90" s="211"/>
      <c r="R90" s="211"/>
      <c r="S90" s="211"/>
      <c r="T90" s="211"/>
      <c r="U90" s="211"/>
      <c r="V90" s="211"/>
    </row>
    <row r="91" spans="1:22" s="25" customFormat="1" thickBot="1" x14ac:dyDescent="0.25">
      <c r="A91" s="183"/>
      <c r="B91" s="183"/>
      <c r="C91" s="183"/>
      <c r="D91" s="183"/>
      <c r="E91" s="183"/>
      <c r="F91" s="181"/>
      <c r="G91" s="258"/>
      <c r="H91" s="183"/>
      <c r="I91" s="257"/>
      <c r="J91" s="186"/>
      <c r="K91" s="186"/>
      <c r="L91" s="83"/>
      <c r="M91" s="83"/>
      <c r="N91" s="83"/>
      <c r="O91" s="83"/>
      <c r="P91" s="289"/>
      <c r="Q91" s="211"/>
      <c r="R91" s="211"/>
      <c r="S91" s="211"/>
      <c r="T91" s="211"/>
      <c r="U91" s="211"/>
      <c r="V91" s="211"/>
    </row>
    <row r="92" spans="1:22" s="25" customFormat="1" thickBot="1" x14ac:dyDescent="0.25">
      <c r="A92" s="679" t="s">
        <v>215</v>
      </c>
      <c r="B92" s="680"/>
      <c r="C92" s="680"/>
      <c r="D92" s="680"/>
      <c r="E92" s="680"/>
      <c r="F92" s="681"/>
      <c r="G92" s="258"/>
      <c r="H92" s="183"/>
      <c r="I92" s="257"/>
      <c r="J92" s="186"/>
      <c r="K92" s="186"/>
      <c r="L92" s="83"/>
      <c r="M92" s="83"/>
      <c r="N92" s="83"/>
      <c r="O92" s="83"/>
      <c r="P92" s="83"/>
      <c r="Q92" s="211"/>
      <c r="R92" s="211"/>
      <c r="S92" s="211"/>
      <c r="T92" s="211"/>
      <c r="U92" s="211"/>
      <c r="V92" s="211"/>
    </row>
    <row r="93" spans="1:22" s="25" customFormat="1" ht="12" x14ac:dyDescent="0.2">
      <c r="A93" s="184" t="s">
        <v>153</v>
      </c>
      <c r="B93" s="185">
        <f>MIN(100,B95+$B$99)</f>
        <v>26.5</v>
      </c>
      <c r="C93" s="185">
        <f>MIN(100,C95+$B$99)</f>
        <v>41.5</v>
      </c>
      <c r="D93" s="185">
        <f t="shared" ref="D93:E93" si="20">MIN(100,D95+$B$99)</f>
        <v>100</v>
      </c>
      <c r="E93" s="185">
        <f t="shared" si="20"/>
        <v>100</v>
      </c>
      <c r="F93" s="75">
        <f t="shared" ref="F93" si="21">MIN(100,F95+$B$114)</f>
        <v>43</v>
      </c>
      <c r="G93" s="258"/>
      <c r="H93" s="258"/>
      <c r="I93" s="210"/>
      <c r="J93" s="186"/>
      <c r="K93" s="186"/>
      <c r="L93" s="83"/>
      <c r="M93" s="83"/>
      <c r="N93" s="83"/>
      <c r="O93" s="83"/>
      <c r="P93" s="83"/>
      <c r="Q93" s="211"/>
      <c r="R93" s="211"/>
      <c r="S93" s="211"/>
      <c r="T93" s="211"/>
      <c r="U93" s="211"/>
      <c r="V93" s="211"/>
    </row>
    <row r="94" spans="1:22" s="25" customFormat="1" ht="12" x14ac:dyDescent="0.2">
      <c r="A94" s="187" t="s">
        <v>154</v>
      </c>
      <c r="B94" s="188">
        <f>MIN(100,B95+$B$100)</f>
        <v>20</v>
      </c>
      <c r="C94" s="188">
        <f>MIN(100,C95+$B$100)</f>
        <v>35</v>
      </c>
      <c r="D94" s="188">
        <f t="shared" ref="D94:E94" si="22">MIN(100,D95+$B$100)</f>
        <v>95</v>
      </c>
      <c r="E94" s="188">
        <f t="shared" si="22"/>
        <v>100</v>
      </c>
      <c r="F94" s="72">
        <f t="shared" ref="F94" si="23">MIN(100,F95+$B$115)</f>
        <v>52</v>
      </c>
      <c r="G94" s="258"/>
      <c r="H94" s="258"/>
      <c r="I94" s="210"/>
      <c r="J94" s="190"/>
      <c r="K94" s="190"/>
      <c r="L94" s="83"/>
      <c r="M94" s="83"/>
      <c r="N94" s="83"/>
      <c r="O94" s="83"/>
      <c r="P94" s="83"/>
      <c r="Q94" s="211"/>
      <c r="R94" s="211"/>
      <c r="S94" s="211"/>
      <c r="T94" s="211"/>
      <c r="U94" s="211"/>
      <c r="V94" s="211"/>
    </row>
    <row r="95" spans="1:22" s="25" customFormat="1" ht="12" x14ac:dyDescent="0.2">
      <c r="A95" s="187" t="s">
        <v>155</v>
      </c>
      <c r="B95" s="189">
        <v>5</v>
      </c>
      <c r="C95" s="189">
        <v>20</v>
      </c>
      <c r="D95" s="189">
        <v>80</v>
      </c>
      <c r="E95" s="189">
        <v>100</v>
      </c>
      <c r="F95" s="73">
        <v>37</v>
      </c>
      <c r="G95" s="258"/>
      <c r="H95" s="258"/>
      <c r="I95" s="210"/>
      <c r="J95" s="186"/>
      <c r="K95" s="186"/>
      <c r="L95" s="83"/>
      <c r="M95" s="83"/>
      <c r="N95" s="83"/>
      <c r="O95" s="83"/>
      <c r="P95" s="83"/>
      <c r="Q95" s="211"/>
      <c r="R95" s="211"/>
      <c r="S95" s="211"/>
      <c r="T95" s="211"/>
      <c r="U95" s="211"/>
      <c r="V95" s="211"/>
    </row>
    <row r="96" spans="1:22" s="25" customFormat="1" ht="12" x14ac:dyDescent="0.2">
      <c r="A96" s="187" t="s">
        <v>156</v>
      </c>
      <c r="B96" s="188">
        <f>MIN(80,IF(B13="Deploy",80,MAX(0,B95-$B$100)))</f>
        <v>0</v>
      </c>
      <c r="C96" s="188">
        <f>MIN(80,IF(C13="Deploy",80,MAX(0,C95-$B$100)))</f>
        <v>5</v>
      </c>
      <c r="D96" s="188">
        <f>MIN(80,IF(D13="Deploy",80,MAX(0,D95-$B$100)))</f>
        <v>65</v>
      </c>
      <c r="E96" s="188">
        <f>MIN(80,IF(E13="Deploy",80,MAX(0,E95-$B$100)))</f>
        <v>80</v>
      </c>
      <c r="F96" s="72">
        <f>MIN(80,IF(F13="Deploy",80,MAX(0,F95-$B$100)))</f>
        <v>22</v>
      </c>
      <c r="G96" s="190"/>
      <c r="H96" s="258"/>
      <c r="I96" s="210"/>
      <c r="J96" s="186"/>
      <c r="K96" s="186"/>
      <c r="L96" s="83"/>
      <c r="M96" s="83"/>
      <c r="N96" s="83"/>
      <c r="O96" s="83"/>
      <c r="P96" s="83"/>
      <c r="Q96" s="211"/>
      <c r="R96" s="211"/>
      <c r="S96" s="211"/>
      <c r="T96" s="211"/>
      <c r="U96" s="211"/>
      <c r="V96" s="211"/>
    </row>
    <row r="97" spans="1:22" s="25" customFormat="1" thickBot="1" x14ac:dyDescent="0.25">
      <c r="A97" s="191" t="s">
        <v>157</v>
      </c>
      <c r="B97" s="192">
        <f>MIN(60,IF(B13="Deploy",60,MAX(0,B95-$B$99)))</f>
        <v>0</v>
      </c>
      <c r="C97" s="192">
        <f>MIN(60,IF(C13="Deploy",60,MAX(0,C95-$B$99)))</f>
        <v>0</v>
      </c>
      <c r="D97" s="192">
        <f>MIN(60,IF(D13="Deploy",60,MAX(0,D95-$B$99)))</f>
        <v>58.5</v>
      </c>
      <c r="E97" s="192">
        <f>MIN(60,IF(E13="Deploy",60,MAX(0,E95-$B$99)))</f>
        <v>60</v>
      </c>
      <c r="F97" s="141">
        <f>MIN(60,IF(F13="Deploy",60,MAX(0,F95-$B$99)))</f>
        <v>15.5</v>
      </c>
      <c r="G97" s="186"/>
      <c r="H97" s="258"/>
      <c r="I97" s="210"/>
      <c r="J97" s="186"/>
      <c r="K97" s="186"/>
      <c r="L97" s="83"/>
      <c r="M97" s="83"/>
      <c r="N97" s="83"/>
      <c r="O97" s="83"/>
      <c r="P97" s="83"/>
      <c r="Q97" s="211"/>
      <c r="R97" s="211"/>
      <c r="S97" s="211"/>
      <c r="T97" s="211"/>
      <c r="U97" s="211"/>
      <c r="V97" s="211"/>
    </row>
    <row r="98" spans="1:22" s="25" customFormat="1" thickBot="1" x14ac:dyDescent="0.25">
      <c r="A98" s="137" t="s">
        <v>158</v>
      </c>
      <c r="B98" s="138">
        <v>5</v>
      </c>
      <c r="C98" s="138">
        <v>20</v>
      </c>
      <c r="D98" s="193">
        <v>80</v>
      </c>
      <c r="E98" s="193">
        <v>100</v>
      </c>
      <c r="F98" s="142">
        <v>37</v>
      </c>
      <c r="G98" s="186"/>
      <c r="H98" s="258"/>
      <c r="I98" s="210"/>
      <c r="J98" s="211"/>
      <c r="K98" s="211"/>
      <c r="L98" s="83"/>
      <c r="M98" s="289"/>
      <c r="N98" s="289"/>
      <c r="O98" s="289"/>
      <c r="P98" s="83"/>
      <c r="Q98" s="211"/>
      <c r="R98" s="211"/>
      <c r="S98" s="211"/>
      <c r="T98" s="211"/>
      <c r="U98" s="211"/>
      <c r="V98" s="211"/>
    </row>
    <row r="99" spans="1:22" s="25" customFormat="1" ht="12" x14ac:dyDescent="0.2">
      <c r="A99" s="194" t="s">
        <v>159</v>
      </c>
      <c r="B99" s="195">
        <v>21.5</v>
      </c>
      <c r="C99" s="330"/>
      <c r="D99" s="181"/>
      <c r="E99" s="181"/>
      <c r="F99" s="190"/>
      <c r="G99" s="198"/>
      <c r="H99" s="258"/>
      <c r="I99" s="210"/>
      <c r="J99" s="211"/>
      <c r="K99" s="211"/>
      <c r="L99" s="83"/>
      <c r="M99" s="289"/>
      <c r="N99" s="289"/>
      <c r="O99" s="289"/>
      <c r="P99" s="83"/>
      <c r="Q99" s="211"/>
      <c r="R99" s="211"/>
      <c r="S99" s="211"/>
      <c r="T99" s="211"/>
      <c r="U99" s="211"/>
      <c r="V99" s="211"/>
    </row>
    <row r="100" spans="1:22" s="25" customFormat="1" thickBot="1" x14ac:dyDescent="0.25">
      <c r="A100" s="196" t="s">
        <v>160</v>
      </c>
      <c r="B100" s="197">
        <v>15</v>
      </c>
      <c r="C100" s="330"/>
      <c r="D100" s="181"/>
      <c r="E100" s="181"/>
      <c r="F100" s="186"/>
      <c r="G100" s="198"/>
      <c r="H100" s="190"/>
      <c r="I100" s="211"/>
      <c r="J100" s="211"/>
      <c r="K100" s="211"/>
      <c r="L100" s="289"/>
      <c r="M100" s="83"/>
      <c r="N100" s="83"/>
      <c r="O100" s="83"/>
      <c r="P100" s="83"/>
      <c r="Q100" s="211"/>
      <c r="R100" s="211"/>
      <c r="S100" s="211"/>
      <c r="T100" s="211"/>
      <c r="U100" s="211"/>
      <c r="V100" s="211"/>
    </row>
    <row r="101" spans="1:22" s="25" customFormat="1" thickBot="1" x14ac:dyDescent="0.25">
      <c r="A101" s="198"/>
      <c r="B101" s="198"/>
      <c r="C101" s="198"/>
      <c r="D101" s="198"/>
      <c r="E101" s="198"/>
      <c r="F101" s="186"/>
      <c r="G101" s="198"/>
      <c r="H101" s="186"/>
      <c r="I101" s="211"/>
      <c r="J101" s="211"/>
      <c r="K101" s="211"/>
      <c r="L101" s="289"/>
      <c r="M101" s="83"/>
      <c r="N101" s="83"/>
      <c r="O101" s="83"/>
      <c r="P101" s="289"/>
      <c r="Q101" s="211"/>
      <c r="R101" s="211"/>
      <c r="S101" s="211"/>
      <c r="T101" s="211"/>
      <c r="U101" s="211"/>
      <c r="V101" s="211"/>
    </row>
    <row r="102" spans="1:22" s="25" customFormat="1" thickBot="1" x14ac:dyDescent="0.25">
      <c r="A102" s="676" t="s">
        <v>161</v>
      </c>
      <c r="B102" s="678"/>
      <c r="C102" s="331"/>
      <c r="D102" s="181"/>
      <c r="E102" s="199"/>
      <c r="F102" s="181"/>
      <c r="G102" s="199"/>
      <c r="H102" s="186"/>
      <c r="I102" s="211"/>
      <c r="J102" s="211"/>
      <c r="K102" s="211"/>
      <c r="L102" s="83"/>
      <c r="M102" s="83"/>
      <c r="N102" s="83"/>
      <c r="O102" s="83"/>
      <c r="P102" s="289"/>
      <c r="Q102" s="211"/>
      <c r="R102" s="211"/>
      <c r="S102" s="211"/>
      <c r="T102" s="211"/>
      <c r="U102" s="211"/>
      <c r="V102" s="211"/>
    </row>
    <row r="103" spans="1:22" s="25" customFormat="1" thickBot="1" x14ac:dyDescent="0.25">
      <c r="A103" s="682" t="s">
        <v>162</v>
      </c>
      <c r="B103" s="683"/>
      <c r="C103" s="372" t="s">
        <v>216</v>
      </c>
      <c r="D103" s="181"/>
      <c r="E103" s="199"/>
      <c r="F103" s="181"/>
      <c r="G103" s="199"/>
      <c r="H103" s="198"/>
      <c r="I103" s="211"/>
      <c r="J103" s="211"/>
      <c r="K103" s="211"/>
      <c r="L103" s="83"/>
      <c r="M103" s="83"/>
      <c r="N103" s="83"/>
      <c r="O103" s="83"/>
      <c r="P103" s="83"/>
      <c r="Q103" s="211"/>
      <c r="R103" s="211"/>
      <c r="S103" s="211"/>
      <c r="T103" s="211"/>
      <c r="U103" s="211"/>
      <c r="V103" s="211"/>
    </row>
    <row r="104" spans="1:22" s="25" customFormat="1" thickTop="1" x14ac:dyDescent="0.2">
      <c r="A104" s="200" t="s">
        <v>164</v>
      </c>
      <c r="B104" s="201">
        <v>6</v>
      </c>
      <c r="C104" s="175"/>
      <c r="D104" s="181"/>
      <c r="E104" s="202"/>
      <c r="F104" s="198"/>
      <c r="H104" s="198"/>
      <c r="I104" s="211"/>
      <c r="J104" s="211"/>
      <c r="K104" s="211"/>
      <c r="L104" s="83"/>
      <c r="M104" s="83"/>
      <c r="N104" s="83"/>
      <c r="O104" s="83"/>
      <c r="P104" s="83"/>
      <c r="Q104" s="211"/>
      <c r="R104" s="211"/>
      <c r="S104" s="211"/>
      <c r="T104" s="211"/>
      <c r="U104" s="211"/>
      <c r="V104" s="211"/>
    </row>
    <row r="105" spans="1:22" s="25" customFormat="1" ht="12" x14ac:dyDescent="0.2">
      <c r="A105" s="203" t="s">
        <v>165</v>
      </c>
      <c r="B105" s="204">
        <v>5</v>
      </c>
      <c r="C105" s="172"/>
      <c r="D105" s="181"/>
      <c r="E105" s="202"/>
      <c r="F105" s="199"/>
      <c r="H105" s="198"/>
      <c r="I105" s="211"/>
      <c r="J105" s="211"/>
      <c r="K105" s="211"/>
      <c r="L105" s="83"/>
      <c r="M105" s="83"/>
      <c r="N105" s="83"/>
      <c r="O105" s="83"/>
      <c r="P105" s="83"/>
      <c r="Q105" s="211"/>
      <c r="R105" s="211"/>
      <c r="S105" s="211"/>
      <c r="T105" s="211"/>
      <c r="U105" s="211"/>
      <c r="V105" s="211"/>
    </row>
    <row r="106" spans="1:22" s="25" customFormat="1" ht="12" x14ac:dyDescent="0.2">
      <c r="A106" s="200" t="s">
        <v>166</v>
      </c>
      <c r="B106" s="201">
        <v>14</v>
      </c>
      <c r="C106" s="175"/>
      <c r="D106" s="181"/>
      <c r="E106" s="202"/>
      <c r="F106" s="199"/>
      <c r="H106" s="199"/>
      <c r="I106" s="211"/>
      <c r="J106" s="211"/>
      <c r="K106" s="211"/>
      <c r="L106" s="83"/>
      <c r="M106" s="83"/>
      <c r="N106" s="83"/>
      <c r="O106" s="83"/>
      <c r="P106" s="83"/>
      <c r="Q106" s="211"/>
      <c r="R106" s="211"/>
      <c r="S106" s="211"/>
      <c r="T106" s="211"/>
      <c r="U106" s="211"/>
      <c r="V106" s="211"/>
    </row>
    <row r="107" spans="1:22" s="25" customFormat="1" ht="12" x14ac:dyDescent="0.2">
      <c r="A107" s="203" t="s">
        <v>167</v>
      </c>
      <c r="B107" s="204">
        <v>11</v>
      </c>
      <c r="C107" s="172"/>
      <c r="D107" s="181"/>
      <c r="E107" s="202"/>
      <c r="H107" s="199"/>
      <c r="I107" s="211"/>
      <c r="J107" s="211"/>
      <c r="K107" s="211"/>
      <c r="L107" s="83"/>
      <c r="M107" s="83"/>
      <c r="N107" s="83"/>
      <c r="O107" s="83"/>
      <c r="P107" s="83"/>
      <c r="Q107" s="211"/>
      <c r="R107" s="211"/>
      <c r="S107" s="211"/>
      <c r="T107" s="211"/>
      <c r="U107" s="211"/>
      <c r="V107" s="211"/>
    </row>
    <row r="108" spans="1:22" s="25" customFormat="1" ht="12" x14ac:dyDescent="0.2">
      <c r="A108" s="13" t="s">
        <v>168</v>
      </c>
      <c r="B108" s="205">
        <v>3</v>
      </c>
      <c r="C108" s="175"/>
      <c r="D108" s="181"/>
      <c r="J108" s="211"/>
      <c r="K108" s="211"/>
      <c r="L108" s="83"/>
      <c r="M108" s="83"/>
      <c r="N108" s="83"/>
      <c r="O108" s="83"/>
      <c r="P108" s="83"/>
      <c r="Q108" s="211"/>
      <c r="R108" s="211"/>
      <c r="S108" s="211"/>
      <c r="T108" s="211"/>
      <c r="U108" s="211"/>
      <c r="V108" s="211"/>
    </row>
    <row r="109" spans="1:22" s="25" customFormat="1" ht="12" x14ac:dyDescent="0.2">
      <c r="A109" s="13" t="s">
        <v>169</v>
      </c>
      <c r="B109" s="205">
        <v>3</v>
      </c>
      <c r="C109" s="175"/>
      <c r="D109" s="198"/>
      <c r="G109" s="211"/>
      <c r="J109" s="211"/>
      <c r="K109" s="211"/>
      <c r="L109" s="83"/>
      <c r="M109" s="83"/>
      <c r="N109" s="83"/>
      <c r="O109" s="83"/>
      <c r="P109" s="83"/>
      <c r="Q109" s="211"/>
      <c r="R109" s="211"/>
      <c r="S109" s="211"/>
      <c r="T109" s="211"/>
      <c r="U109" s="211"/>
      <c r="V109" s="211"/>
    </row>
    <row r="110" spans="1:22" s="25" customFormat="1" ht="12" x14ac:dyDescent="0.2">
      <c r="A110" s="13" t="s">
        <v>170</v>
      </c>
      <c r="B110" s="205">
        <v>3</v>
      </c>
      <c r="C110" s="175"/>
      <c r="D110" s="198"/>
      <c r="G110" s="211"/>
      <c r="J110" s="198"/>
      <c r="K110" s="198"/>
      <c r="L110" s="83"/>
      <c r="M110" s="83"/>
      <c r="N110" s="83"/>
      <c r="O110" s="83"/>
      <c r="P110" s="83"/>
      <c r="Q110" s="211"/>
      <c r="R110" s="211"/>
      <c r="S110" s="211"/>
      <c r="T110" s="211"/>
      <c r="U110" s="211"/>
      <c r="V110" s="211"/>
    </row>
    <row r="111" spans="1:22" s="25" customFormat="1" ht="12" x14ac:dyDescent="0.2">
      <c r="A111" s="13" t="s">
        <v>171</v>
      </c>
      <c r="B111" s="205">
        <v>3</v>
      </c>
      <c r="C111" s="175"/>
      <c r="D111" s="198"/>
      <c r="G111" s="211"/>
      <c r="J111" s="198"/>
      <c r="K111" s="198"/>
      <c r="L111" s="83"/>
      <c r="M111" s="289"/>
      <c r="N111" s="289"/>
      <c r="O111" s="289"/>
      <c r="P111" s="83"/>
      <c r="Q111" s="211"/>
      <c r="R111" s="211"/>
      <c r="S111" s="211"/>
      <c r="T111" s="211"/>
      <c r="U111" s="211"/>
      <c r="V111" s="211"/>
    </row>
    <row r="112" spans="1:22" s="25" customFormat="1" ht="12" x14ac:dyDescent="0.2">
      <c r="A112" s="13" t="s">
        <v>172</v>
      </c>
      <c r="B112" s="205">
        <v>3</v>
      </c>
      <c r="C112" s="175"/>
      <c r="D112" s="198"/>
      <c r="G112" s="211"/>
      <c r="H112" s="211"/>
      <c r="J112" s="198"/>
      <c r="K112" s="198"/>
      <c r="L112" s="83"/>
      <c r="M112" s="83"/>
      <c r="N112" s="83"/>
      <c r="O112" s="83"/>
      <c r="P112" s="83"/>
      <c r="Q112" s="211"/>
      <c r="R112" s="211"/>
      <c r="S112" s="211"/>
      <c r="T112" s="211"/>
      <c r="U112" s="211"/>
      <c r="V112" s="211"/>
    </row>
    <row r="113" spans="1:22" s="25" customFormat="1" ht="12" x14ac:dyDescent="0.2">
      <c r="A113" s="13" t="s">
        <v>173</v>
      </c>
      <c r="B113" s="205">
        <v>3</v>
      </c>
      <c r="C113" s="175"/>
      <c r="D113" s="198"/>
      <c r="G113" s="211"/>
      <c r="H113" s="211"/>
      <c r="J113" s="198"/>
      <c r="K113" s="198"/>
      <c r="L113" s="289"/>
      <c r="M113" s="83"/>
      <c r="N113" s="83"/>
      <c r="O113" s="83"/>
      <c r="P113" s="83"/>
      <c r="Q113" s="211"/>
      <c r="R113" s="211"/>
      <c r="S113" s="211"/>
      <c r="T113" s="211"/>
      <c r="U113" s="211"/>
      <c r="V113" s="211"/>
    </row>
    <row r="114" spans="1:22" s="25" customFormat="1" ht="12" x14ac:dyDescent="0.2">
      <c r="A114" s="13" t="s">
        <v>174</v>
      </c>
      <c r="B114" s="205">
        <v>6</v>
      </c>
      <c r="C114" s="175"/>
      <c r="D114" s="198"/>
      <c r="G114" s="211"/>
      <c r="H114" s="199"/>
      <c r="J114" s="198"/>
      <c r="K114" s="198"/>
      <c r="L114" s="83"/>
      <c r="M114" s="83"/>
      <c r="N114" s="83"/>
      <c r="O114" s="83"/>
      <c r="P114" s="289"/>
      <c r="Q114" s="211"/>
      <c r="R114" s="211"/>
      <c r="S114" s="211"/>
      <c r="T114" s="211"/>
      <c r="U114" s="211"/>
      <c r="V114" s="211"/>
    </row>
    <row r="115" spans="1:22" s="25" customFormat="1" ht="12" x14ac:dyDescent="0.2">
      <c r="A115" s="13" t="s">
        <v>175</v>
      </c>
      <c r="B115" s="206">
        <v>15</v>
      </c>
      <c r="C115" s="182"/>
      <c r="D115" s="181"/>
      <c r="H115" s="199"/>
      <c r="J115" s="198"/>
      <c r="K115" s="198"/>
      <c r="L115" s="83"/>
      <c r="M115" s="83"/>
      <c r="N115" s="83"/>
      <c r="O115" s="83"/>
      <c r="P115" s="83"/>
      <c r="Q115" s="211"/>
      <c r="R115" s="211"/>
      <c r="S115" s="211"/>
      <c r="T115" s="211"/>
      <c r="U115" s="211"/>
      <c r="V115" s="211"/>
    </row>
    <row r="116" spans="1:22" s="25" customFormat="1" ht="12" x14ac:dyDescent="0.2">
      <c r="A116" s="203" t="s">
        <v>176</v>
      </c>
      <c r="B116" s="206">
        <v>3</v>
      </c>
      <c r="C116" s="182"/>
      <c r="D116" s="199"/>
      <c r="H116" s="211"/>
      <c r="J116" s="198"/>
      <c r="K116" s="198"/>
      <c r="L116" s="83"/>
      <c r="M116" s="83"/>
      <c r="N116" s="83"/>
      <c r="O116" s="83"/>
      <c r="P116" s="83"/>
      <c r="Q116" s="211"/>
      <c r="R116" s="211"/>
      <c r="S116" s="211"/>
      <c r="T116" s="211"/>
      <c r="U116" s="211"/>
      <c r="V116" s="211"/>
    </row>
    <row r="117" spans="1:22" s="25" customFormat="1" ht="12" x14ac:dyDescent="0.2">
      <c r="A117" s="203" t="s">
        <v>177</v>
      </c>
      <c r="B117" s="206">
        <v>1</v>
      </c>
      <c r="C117" s="182"/>
      <c r="D117" s="199"/>
      <c r="H117" s="211"/>
      <c r="J117" s="198"/>
      <c r="K117" s="198"/>
      <c r="L117" s="83"/>
      <c r="M117" s="83"/>
      <c r="N117" s="83"/>
      <c r="O117" s="83"/>
      <c r="P117" s="83"/>
      <c r="Q117" s="211"/>
      <c r="R117" s="211"/>
      <c r="S117" s="211"/>
      <c r="T117" s="211"/>
      <c r="U117" s="211"/>
      <c r="V117" s="211"/>
    </row>
    <row r="118" spans="1:22" s="25" customFormat="1" thickBot="1" x14ac:dyDescent="0.25">
      <c r="A118" s="207" t="s">
        <v>178</v>
      </c>
      <c r="B118" s="208">
        <v>2</v>
      </c>
      <c r="C118" s="332"/>
      <c r="D118" s="181"/>
      <c r="H118" s="198"/>
      <c r="J118" s="198"/>
      <c r="K118" s="198"/>
      <c r="L118" s="83"/>
      <c r="M118" s="83"/>
      <c r="N118" s="83"/>
      <c r="O118" s="83"/>
      <c r="P118" s="83"/>
      <c r="Q118" s="211"/>
      <c r="R118" s="211"/>
      <c r="S118" s="211"/>
      <c r="T118" s="211"/>
      <c r="U118" s="211"/>
      <c r="V118" s="211"/>
    </row>
    <row r="119" spans="1:22" s="25" customFormat="1" thickBot="1" x14ac:dyDescent="0.25">
      <c r="G119" s="211"/>
      <c r="J119" s="211"/>
      <c r="K119" s="211"/>
      <c r="L119" s="83"/>
      <c r="M119" s="83"/>
      <c r="N119" s="83"/>
      <c r="O119" s="83"/>
      <c r="P119" s="83"/>
      <c r="Q119" s="211"/>
      <c r="R119" s="211"/>
      <c r="S119" s="211"/>
      <c r="T119" s="211"/>
      <c r="U119" s="211"/>
      <c r="V119" s="211"/>
    </row>
    <row r="120" spans="1:22" s="25" customFormat="1" thickBot="1" x14ac:dyDescent="0.25">
      <c r="A120" s="676" t="s">
        <v>179</v>
      </c>
      <c r="B120" s="677"/>
      <c r="C120" s="677"/>
      <c r="D120" s="677"/>
      <c r="E120" s="677"/>
      <c r="F120" s="678"/>
      <c r="G120" s="211"/>
      <c r="J120" s="211"/>
      <c r="K120" s="211"/>
      <c r="L120" s="83"/>
      <c r="M120" s="83"/>
      <c r="N120" s="83"/>
      <c r="O120" s="83"/>
      <c r="P120" s="83"/>
      <c r="Q120" s="211"/>
      <c r="R120" s="211"/>
      <c r="S120" s="211"/>
      <c r="T120" s="211"/>
      <c r="U120" s="211"/>
      <c r="V120" s="211"/>
    </row>
    <row r="121" spans="1:22" s="25" customFormat="1" ht="12" x14ac:dyDescent="0.2">
      <c r="A121" s="84" t="s">
        <v>180</v>
      </c>
      <c r="B121" s="85" t="s">
        <v>181</v>
      </c>
      <c r="C121" s="85" t="s">
        <v>181</v>
      </c>
      <c r="D121" s="85" t="s">
        <v>181</v>
      </c>
      <c r="E121" s="85"/>
      <c r="F121" s="88" t="s">
        <v>181</v>
      </c>
      <c r="G121" s="211"/>
      <c r="H121" s="211"/>
      <c r="I121" s="211"/>
      <c r="J121" s="211"/>
      <c r="K121" s="211"/>
      <c r="L121" s="83"/>
      <c r="M121" s="83"/>
      <c r="N121" s="83"/>
      <c r="O121" s="83"/>
      <c r="P121" s="83"/>
      <c r="Q121" s="211"/>
      <c r="R121" s="211"/>
      <c r="S121" s="211"/>
      <c r="T121" s="211"/>
      <c r="U121" s="211"/>
      <c r="V121" s="211"/>
    </row>
    <row r="122" spans="1:22" s="25" customFormat="1" ht="13.5" customHeight="1" thickBot="1" x14ac:dyDescent="0.25">
      <c r="A122" s="86" t="s">
        <v>182</v>
      </c>
      <c r="B122" s="87"/>
      <c r="C122" s="87"/>
      <c r="D122" s="87"/>
      <c r="E122" s="87" t="s">
        <v>181</v>
      </c>
      <c r="F122" s="89"/>
      <c r="G122" s="211"/>
      <c r="H122" s="211"/>
      <c r="I122" s="211"/>
      <c r="J122" s="211"/>
      <c r="K122" s="211"/>
      <c r="L122" s="83"/>
      <c r="M122" s="83"/>
      <c r="N122" s="83"/>
      <c r="O122" s="83"/>
      <c r="P122" s="83"/>
      <c r="Q122" s="211"/>
      <c r="R122" s="211"/>
      <c r="S122" s="211"/>
      <c r="T122" s="211"/>
      <c r="U122" s="211"/>
      <c r="V122" s="211"/>
    </row>
    <row r="123" spans="1:22" s="25" customFormat="1" thickBot="1" x14ac:dyDescent="0.25">
      <c r="G123" s="211"/>
      <c r="H123" s="211"/>
      <c r="I123" s="211"/>
      <c r="J123" s="211"/>
      <c r="K123" s="211"/>
      <c r="L123" s="83"/>
      <c r="M123" s="83"/>
      <c r="N123" s="83"/>
      <c r="O123" s="83"/>
      <c r="P123" s="83"/>
      <c r="Q123" s="211"/>
      <c r="R123" s="211"/>
      <c r="S123" s="211"/>
      <c r="T123" s="211"/>
      <c r="U123" s="211"/>
      <c r="V123" s="211"/>
    </row>
    <row r="124" spans="1:22" s="25" customFormat="1" ht="13.5" thickBot="1" x14ac:dyDescent="0.25">
      <c r="A124" s="334" t="s">
        <v>183</v>
      </c>
      <c r="B124" s="660" t="s">
        <v>184</v>
      </c>
      <c r="C124" s="661"/>
      <c r="D124" s="662" t="s">
        <v>185</v>
      </c>
      <c r="E124" s="663"/>
      <c r="F124" s="664" t="s">
        <v>186</v>
      </c>
      <c r="G124" s="665"/>
      <c r="H124" s="211"/>
      <c r="I124" s="211"/>
      <c r="J124" s="211"/>
      <c r="K124" s="211"/>
      <c r="L124" s="83"/>
      <c r="M124" s="83"/>
      <c r="N124" s="83"/>
      <c r="O124" s="83"/>
      <c r="P124" s="83"/>
      <c r="Q124" s="211"/>
      <c r="R124" s="211"/>
      <c r="S124" s="211"/>
      <c r="T124" s="211"/>
      <c r="U124" s="211"/>
      <c r="V124" s="211"/>
    </row>
    <row r="125" spans="1:22" x14ac:dyDescent="0.2">
      <c r="A125" s="335" t="s">
        <v>187</v>
      </c>
      <c r="B125" s="336"/>
      <c r="C125" s="337"/>
      <c r="D125" s="337"/>
      <c r="E125" s="337"/>
      <c r="F125" s="337"/>
      <c r="G125" s="338"/>
      <c r="H125" s="211"/>
      <c r="I125" s="211"/>
      <c r="J125" s="216"/>
      <c r="K125" s="216"/>
    </row>
    <row r="126" spans="1:22" x14ac:dyDescent="0.2">
      <c r="A126" s="339" t="s">
        <v>188</v>
      </c>
      <c r="B126" s="340">
        <v>2</v>
      </c>
      <c r="C126" s="340"/>
      <c r="D126" s="341">
        <v>1</v>
      </c>
      <c r="E126" s="341"/>
      <c r="F126" s="342"/>
      <c r="G126" s="343">
        <v>0</v>
      </c>
      <c r="H126" s="211"/>
      <c r="I126" s="211"/>
      <c r="J126" s="216"/>
      <c r="K126" s="216"/>
    </row>
    <row r="127" spans="1:22" x14ac:dyDescent="0.2">
      <c r="A127" s="339" t="s">
        <v>190</v>
      </c>
      <c r="B127" s="344">
        <v>2</v>
      </c>
      <c r="C127" s="345"/>
      <c r="D127" s="346">
        <v>1</v>
      </c>
      <c r="E127" s="346"/>
      <c r="F127" s="347"/>
      <c r="G127" s="348"/>
      <c r="H127" s="216"/>
      <c r="I127" s="216"/>
      <c r="J127" s="216"/>
      <c r="K127" s="216"/>
    </row>
    <row r="128" spans="1:22" x14ac:dyDescent="0.2">
      <c r="A128" s="349" t="s">
        <v>124</v>
      </c>
      <c r="B128" s="350"/>
      <c r="C128" s="351"/>
      <c r="D128" s="351"/>
      <c r="E128" s="351"/>
      <c r="F128" s="351"/>
      <c r="G128" s="352"/>
      <c r="H128" s="216"/>
      <c r="I128" s="369" t="s">
        <v>189</v>
      </c>
      <c r="J128" s="216"/>
      <c r="K128" s="216"/>
    </row>
    <row r="129" spans="1:11" x14ac:dyDescent="0.2">
      <c r="A129" s="339" t="str">
        <f t="shared" ref="A129:A136" si="24">A39</f>
        <v>Ready MH-53E SAR/MEDEVAC Mission Systems (C)</v>
      </c>
      <c r="B129" s="353">
        <v>2</v>
      </c>
      <c r="C129" s="353">
        <v>1</v>
      </c>
      <c r="D129" s="354"/>
      <c r="E129" s="354"/>
      <c r="F129" s="355"/>
      <c r="G129" s="356">
        <v>0</v>
      </c>
      <c r="H129" s="216"/>
      <c r="I129" s="370" t="s">
        <v>52</v>
      </c>
      <c r="J129" s="216"/>
      <c r="K129" s="216"/>
    </row>
    <row r="130" spans="1:11" x14ac:dyDescent="0.2">
      <c r="A130" s="339" t="str">
        <f t="shared" si="24"/>
        <v>Ready MH-53E Logistics Support Mission Systems (D)</v>
      </c>
      <c r="B130" s="340">
        <v>2</v>
      </c>
      <c r="C130" s="353">
        <v>1</v>
      </c>
      <c r="D130" s="341"/>
      <c r="E130" s="341"/>
      <c r="F130" s="342"/>
      <c r="G130" s="356">
        <v>0</v>
      </c>
      <c r="H130" s="216"/>
      <c r="I130" s="216"/>
      <c r="J130" s="216"/>
      <c r="K130" s="216"/>
    </row>
    <row r="131" spans="1:11" x14ac:dyDescent="0.2">
      <c r="A131" s="339" t="str">
        <f t="shared" si="24"/>
        <v>Ready MH-53E Expanded Mobility Mission Systems (E)</v>
      </c>
      <c r="B131" s="340">
        <v>2</v>
      </c>
      <c r="C131" s="353">
        <v>1</v>
      </c>
      <c r="D131" s="341"/>
      <c r="E131" s="341"/>
      <c r="F131" s="342"/>
      <c r="G131" s="356">
        <v>0</v>
      </c>
      <c r="H131" s="216"/>
      <c r="I131" s="216"/>
      <c r="J131" s="216"/>
      <c r="K131" s="216"/>
    </row>
    <row r="132" spans="1:11" x14ac:dyDescent="0.2">
      <c r="A132" s="339" t="str">
        <f t="shared" si="24"/>
        <v>Ready MH-53E SUW and Special Warfare Mission Systems (F)</v>
      </c>
      <c r="B132" s="340">
        <v>2</v>
      </c>
      <c r="C132" s="353">
        <v>1</v>
      </c>
      <c r="D132" s="341"/>
      <c r="E132" s="341"/>
      <c r="F132" s="342"/>
      <c r="G132" s="356">
        <v>0</v>
      </c>
      <c r="H132" s="216"/>
      <c r="I132" s="216"/>
      <c r="J132" s="216"/>
      <c r="K132" s="216"/>
    </row>
    <row r="133" spans="1:11" x14ac:dyDescent="0.2">
      <c r="A133" s="339" t="str">
        <f t="shared" si="24"/>
        <v>Ready MH-53E Real-Time Diagnostics and Fault Monitoring Systems (I)</v>
      </c>
      <c r="B133" s="340">
        <v>2</v>
      </c>
      <c r="C133" s="353">
        <v>1</v>
      </c>
      <c r="D133" s="341"/>
      <c r="E133" s="341"/>
      <c r="F133" s="342"/>
      <c r="G133" s="343">
        <v>0</v>
      </c>
      <c r="H133" s="216"/>
      <c r="I133" s="216"/>
      <c r="J133" s="216"/>
      <c r="K133" s="216"/>
    </row>
    <row r="134" spans="1:11" x14ac:dyDescent="0.2">
      <c r="A134" s="339" t="str">
        <f t="shared" si="24"/>
        <v>Ready MH-53E Airborne Mine Counter Measures Mission (AMCM) Systems (J)</v>
      </c>
      <c r="B134" s="344">
        <v>2</v>
      </c>
      <c r="C134" s="340">
        <v>1</v>
      </c>
      <c r="D134" s="346"/>
      <c r="E134" s="346"/>
      <c r="F134" s="347"/>
      <c r="G134" s="348">
        <v>0</v>
      </c>
      <c r="H134" s="216"/>
      <c r="I134" s="216"/>
      <c r="J134" s="216"/>
      <c r="K134" s="216"/>
    </row>
    <row r="135" spans="1:11" x14ac:dyDescent="0.2">
      <c r="A135" s="339" t="str">
        <f t="shared" si="24"/>
        <v>Ready MH-53E Shipboard Mission Systems (K)</v>
      </c>
      <c r="B135" s="344">
        <v>2</v>
      </c>
      <c r="C135" s="340">
        <v>1</v>
      </c>
      <c r="D135" s="346"/>
      <c r="E135" s="346"/>
      <c r="F135" s="347"/>
      <c r="G135" s="348">
        <v>0</v>
      </c>
      <c r="H135" s="216"/>
      <c r="I135" s="216"/>
    </row>
    <row r="136" spans="1:11" x14ac:dyDescent="0.2">
      <c r="A136" s="339" t="str">
        <f t="shared" si="24"/>
        <v>Ready MH-53E IMC Flight Mission Systems (L)</v>
      </c>
      <c r="B136" s="344">
        <v>2</v>
      </c>
      <c r="C136" s="340">
        <v>1</v>
      </c>
      <c r="D136" s="346"/>
      <c r="E136" s="346"/>
      <c r="F136" s="347"/>
      <c r="G136" s="348">
        <v>0</v>
      </c>
      <c r="H136" s="216"/>
      <c r="I136" s="216"/>
    </row>
    <row r="137" spans="1:11" x14ac:dyDescent="0.2">
      <c r="A137" s="357" t="s">
        <v>133</v>
      </c>
      <c r="B137" s="350"/>
      <c r="C137" s="351"/>
      <c r="D137" s="351"/>
      <c r="E137" s="351"/>
      <c r="F137" s="351"/>
      <c r="G137" s="352"/>
    </row>
    <row r="138" spans="1:11" x14ac:dyDescent="0.2">
      <c r="A138" s="339" t="str">
        <f t="shared" ref="A138:A149" si="25">A48</f>
        <v>Assigned Guns Sets</v>
      </c>
      <c r="B138" s="344">
        <v>4</v>
      </c>
      <c r="C138" s="340"/>
      <c r="D138" s="346">
        <v>3</v>
      </c>
      <c r="E138" s="346"/>
      <c r="F138" s="347">
        <v>2</v>
      </c>
      <c r="G138" s="348">
        <v>0</v>
      </c>
    </row>
    <row r="139" spans="1:11" x14ac:dyDescent="0.2">
      <c r="A139" s="339" t="str">
        <f t="shared" si="25"/>
        <v>Ready Guns Sets</v>
      </c>
      <c r="B139" s="344">
        <v>4</v>
      </c>
      <c r="C139" s="340">
        <v>3</v>
      </c>
      <c r="D139" s="346">
        <v>2</v>
      </c>
      <c r="E139" s="346"/>
      <c r="F139" s="347">
        <v>1</v>
      </c>
      <c r="G139" s="348">
        <v>0</v>
      </c>
    </row>
    <row r="140" spans="1:11" x14ac:dyDescent="0.2">
      <c r="A140" s="339" t="str">
        <f t="shared" si="25"/>
        <v>Assigned MK 103 Sets</v>
      </c>
      <c r="B140" s="344">
        <v>2</v>
      </c>
      <c r="C140" s="340"/>
      <c r="D140" s="346">
        <v>1</v>
      </c>
      <c r="E140" s="346"/>
      <c r="F140" s="347"/>
      <c r="G140" s="348">
        <v>0</v>
      </c>
    </row>
    <row r="141" spans="1:11" x14ac:dyDescent="0.2">
      <c r="A141" s="339" t="str">
        <f t="shared" si="25"/>
        <v>Ready MK 103 Sets</v>
      </c>
      <c r="B141" s="344">
        <v>2</v>
      </c>
      <c r="C141" s="340">
        <v>1</v>
      </c>
      <c r="D141" s="346"/>
      <c r="E141" s="346"/>
      <c r="F141" s="347"/>
      <c r="G141" s="348">
        <v>0</v>
      </c>
    </row>
    <row r="142" spans="1:11" x14ac:dyDescent="0.2">
      <c r="A142" s="339" t="str">
        <f t="shared" si="25"/>
        <v>Assigned MK 104 Sets</v>
      </c>
      <c r="B142" s="344">
        <v>2</v>
      </c>
      <c r="C142" s="340"/>
      <c r="D142" s="346">
        <v>1</v>
      </c>
      <c r="E142" s="346"/>
      <c r="F142" s="347"/>
      <c r="G142" s="348">
        <v>0</v>
      </c>
    </row>
    <row r="143" spans="1:11" x14ac:dyDescent="0.2">
      <c r="A143" s="339" t="str">
        <f t="shared" si="25"/>
        <v>Ready MK 104 Sets</v>
      </c>
      <c r="B143" s="344">
        <v>2</v>
      </c>
      <c r="C143" s="340">
        <v>1</v>
      </c>
      <c r="D143" s="346"/>
      <c r="E143" s="346"/>
      <c r="F143" s="347"/>
      <c r="G143" s="348">
        <v>0</v>
      </c>
    </row>
    <row r="144" spans="1:11" x14ac:dyDescent="0.2">
      <c r="A144" s="339" t="str">
        <f t="shared" si="25"/>
        <v>Assigned MK 105 Sets</v>
      </c>
      <c r="B144" s="344">
        <v>2</v>
      </c>
      <c r="C144" s="340"/>
      <c r="D144" s="346">
        <v>1</v>
      </c>
      <c r="E144" s="346"/>
      <c r="F144" s="347"/>
      <c r="G144" s="348">
        <v>0</v>
      </c>
    </row>
    <row r="145" spans="1:7" x14ac:dyDescent="0.2">
      <c r="A145" s="339" t="str">
        <f t="shared" si="25"/>
        <v>Ready MK 105 Sets</v>
      </c>
      <c r="B145" s="344">
        <v>2</v>
      </c>
      <c r="C145" s="340">
        <v>1</v>
      </c>
      <c r="D145" s="346"/>
      <c r="E145" s="346"/>
      <c r="F145" s="347"/>
      <c r="G145" s="348">
        <v>0</v>
      </c>
    </row>
    <row r="146" spans="1:7" x14ac:dyDescent="0.2">
      <c r="A146" s="339" t="str">
        <f t="shared" si="25"/>
        <v>Assigned Q24 Sets</v>
      </c>
      <c r="B146" s="344">
        <v>2</v>
      </c>
      <c r="C146" s="340"/>
      <c r="D146" s="346">
        <v>1</v>
      </c>
      <c r="E146" s="346"/>
      <c r="F146" s="347"/>
      <c r="G146" s="348">
        <v>0</v>
      </c>
    </row>
    <row r="147" spans="1:7" x14ac:dyDescent="0.2">
      <c r="A147" s="339" t="str">
        <f t="shared" si="25"/>
        <v>Ready Q24 Sets</v>
      </c>
      <c r="B147" s="344">
        <v>2</v>
      </c>
      <c r="C147" s="340">
        <v>1</v>
      </c>
      <c r="D147" s="346"/>
      <c r="E147" s="346"/>
      <c r="F147" s="347"/>
      <c r="G147" s="348">
        <v>0</v>
      </c>
    </row>
    <row r="148" spans="1:7" x14ac:dyDescent="0.2">
      <c r="A148" s="339" t="str">
        <f t="shared" si="25"/>
        <v>Assigned MOP Sets</v>
      </c>
      <c r="B148" s="344">
        <v>2</v>
      </c>
      <c r="C148" s="340"/>
      <c r="D148" s="346">
        <v>1</v>
      </c>
      <c r="E148" s="346"/>
      <c r="F148" s="347"/>
      <c r="G148" s="348">
        <v>0</v>
      </c>
    </row>
    <row r="149" spans="1:7" ht="13.5" thickBot="1" x14ac:dyDescent="0.25">
      <c r="A149" s="358" t="str">
        <f t="shared" si="25"/>
        <v>Ready MOP Sets</v>
      </c>
      <c r="B149" s="362">
        <v>2</v>
      </c>
      <c r="C149" s="362">
        <v>1</v>
      </c>
      <c r="D149" s="359"/>
      <c r="E149" s="359"/>
      <c r="F149" s="360"/>
      <c r="G149" s="361">
        <v>0</v>
      </c>
    </row>
    <row r="150" spans="1:7" x14ac:dyDescent="0.2">
      <c r="D150" s="181"/>
      <c r="E150" s="181"/>
      <c r="F150" s="181"/>
      <c r="G150" s="181"/>
    </row>
    <row r="151" spans="1:7" x14ac:dyDescent="0.2">
      <c r="D151" s="181"/>
      <c r="E151" s="181"/>
      <c r="F151" s="181"/>
      <c r="G151" s="181"/>
    </row>
    <row r="152" spans="1:7" x14ac:dyDescent="0.2">
      <c r="A152" s="529" t="s">
        <v>191</v>
      </c>
      <c r="B152" s="529" t="s">
        <v>217</v>
      </c>
    </row>
    <row r="153" spans="1:7" x14ac:dyDescent="0.2">
      <c r="A153" s="545" t="s">
        <v>193</v>
      </c>
      <c r="B153" s="530">
        <f>HLOOKUP($B$152,'MH-53E Mission System Summary_O'!$B$1:$F$12,2,FALSE)</f>
        <v>0.72701314629565739</v>
      </c>
    </row>
    <row r="154" spans="1:7" x14ac:dyDescent="0.2">
      <c r="A154" s="522" t="s">
        <v>125</v>
      </c>
      <c r="B154" s="530">
        <f>HLOOKUP($B$152,'MH-53E Mission System Summary_O'!$B$1:$F$12,3,FALSE)</f>
        <v>0.46909853972634252</v>
      </c>
    </row>
    <row r="155" spans="1:7" x14ac:dyDescent="0.2">
      <c r="A155" s="522" t="s">
        <v>126</v>
      </c>
      <c r="B155" s="530">
        <f>HLOOKUP($B$152,'MH-53E Mission System Summary_O'!$B$1:$F$12,4,FALSE)</f>
        <v>0.45771530412786032</v>
      </c>
    </row>
    <row r="156" spans="1:7" x14ac:dyDescent="0.2">
      <c r="A156" s="522" t="s">
        <v>127</v>
      </c>
      <c r="B156" s="530">
        <f>HLOOKUP($B$152,'MH-53E Mission System Summary_O'!$B$1:$F$12,5,FALSE)</f>
        <v>0.58482810164424515</v>
      </c>
    </row>
    <row r="157" spans="1:7" x14ac:dyDescent="0.2">
      <c r="A157" s="525" t="s">
        <v>128</v>
      </c>
      <c r="B157" s="530">
        <f>HLOOKUP($B$152,'MH-53E Mission System Summary_O'!$B$1:$F$12,6,FALSE)</f>
        <v>0</v>
      </c>
    </row>
    <row r="158" spans="1:7" x14ac:dyDescent="0.2">
      <c r="A158" s="522" t="s">
        <v>129</v>
      </c>
      <c r="B158" s="530">
        <f>HLOOKUP($B$152,'MH-53E Mission System Summary_O'!$B$1:$F$12,7,FALSE)</f>
        <v>0</v>
      </c>
    </row>
    <row r="159" spans="1:7" x14ac:dyDescent="0.2">
      <c r="A159" s="522" t="s">
        <v>130</v>
      </c>
      <c r="B159" s="530">
        <f>HLOOKUP($B$152,'MH-53E Mission System Summary_O'!$B$1:$F$12,8,FALSE)</f>
        <v>0.46941474071518929</v>
      </c>
    </row>
    <row r="160" spans="1:7" x14ac:dyDescent="0.2">
      <c r="A160" s="522" t="s">
        <v>131</v>
      </c>
      <c r="B160" s="530">
        <f>HLOOKUP($B$152,'MH-53E Mission System Summary_O'!$B$1:$F$12,9,FALSE)</f>
        <v>0.59621133724272746</v>
      </c>
    </row>
    <row r="161" spans="1:2" x14ac:dyDescent="0.2">
      <c r="A161" s="522" t="s">
        <v>132</v>
      </c>
      <c r="B161" s="530">
        <f>HLOOKUP($B$152,'MH-53E Mission System Summary_O'!$B$1:$F$12,10,FALSE)</f>
        <v>1</v>
      </c>
    </row>
  </sheetData>
  <mergeCells count="11">
    <mergeCell ref="B124:C124"/>
    <mergeCell ref="D124:E124"/>
    <mergeCell ref="F124:G124"/>
    <mergeCell ref="M29:Q29"/>
    <mergeCell ref="A1:C1"/>
    <mergeCell ref="A120:F120"/>
    <mergeCell ref="A92:F92"/>
    <mergeCell ref="A102:B102"/>
    <mergeCell ref="A103:B103"/>
    <mergeCell ref="M17:P17"/>
    <mergeCell ref="M49:N49"/>
  </mergeCells>
  <conditionalFormatting sqref="C139:C141 C126:C136">
    <cfRule type="cellIs" dxfId="108" priority="30" operator="equal">
      <formula>B126</formula>
    </cfRule>
  </conditionalFormatting>
  <conditionalFormatting sqref="D139:E141 D126:E136">
    <cfRule type="cellIs" dxfId="107" priority="29" operator="equal">
      <formula>C126</formula>
    </cfRule>
  </conditionalFormatting>
  <conditionalFormatting sqref="E126">
    <cfRule type="cellIs" dxfId="106" priority="28" operator="equal">
      <formula>D126</formula>
    </cfRule>
  </conditionalFormatting>
  <conditionalFormatting sqref="F126">
    <cfRule type="cellIs" dxfId="105" priority="27" operator="equal">
      <formula>E126</formula>
    </cfRule>
  </conditionalFormatting>
  <conditionalFormatting sqref="F139:F141 F127:F136">
    <cfRule type="cellIs" dxfId="104" priority="25" operator="equal">
      <formula>G127</formula>
    </cfRule>
    <cfRule type="cellIs" dxfId="103" priority="26" operator="equal">
      <formula>E127</formula>
    </cfRule>
  </conditionalFormatting>
  <conditionalFormatting sqref="C126:C136">
    <cfRule type="cellIs" dxfId="102" priority="24" operator="equal">
      <formula>B126</formula>
    </cfRule>
  </conditionalFormatting>
  <conditionalFormatting sqref="D126:E136">
    <cfRule type="cellIs" dxfId="101" priority="23" operator="equal">
      <formula>C126</formula>
    </cfRule>
  </conditionalFormatting>
  <conditionalFormatting sqref="E126">
    <cfRule type="cellIs" dxfId="100" priority="22" operator="equal">
      <formula>D126</formula>
    </cfRule>
  </conditionalFormatting>
  <conditionalFormatting sqref="F126">
    <cfRule type="cellIs" dxfId="99" priority="21" operator="equal">
      <formula>E126</formula>
    </cfRule>
  </conditionalFormatting>
  <conditionalFormatting sqref="F127:F136">
    <cfRule type="cellIs" dxfId="98" priority="19" operator="equal">
      <formula>G127</formula>
    </cfRule>
    <cfRule type="cellIs" dxfId="97" priority="20" operator="equal">
      <formula>E127</formula>
    </cfRule>
  </conditionalFormatting>
  <conditionalFormatting sqref="F126">
    <cfRule type="cellIs" dxfId="96" priority="18" operator="equal">
      <formula>E126</formula>
    </cfRule>
  </conditionalFormatting>
  <conditionalFormatting sqref="C126">
    <cfRule type="cellIs" dxfId="95" priority="17" operator="equal">
      <formula>B126</formula>
    </cfRule>
  </conditionalFormatting>
  <conditionalFormatting sqref="D126">
    <cfRule type="cellIs" dxfId="94" priority="16" operator="equal">
      <formula>C126</formula>
    </cfRule>
  </conditionalFormatting>
  <conditionalFormatting sqref="E126">
    <cfRule type="cellIs" dxfId="93" priority="15" operator="equal">
      <formula>D126</formula>
    </cfRule>
  </conditionalFormatting>
  <conditionalFormatting sqref="D126">
    <cfRule type="cellIs" dxfId="92" priority="14" operator="equal">
      <formula>C126</formula>
    </cfRule>
  </conditionalFormatting>
  <conditionalFormatting sqref="E126">
    <cfRule type="cellIs" dxfId="91" priority="13" operator="equal">
      <formula>D126</formula>
    </cfRule>
  </conditionalFormatting>
  <conditionalFormatting sqref="C138:C149">
    <cfRule type="cellIs" dxfId="90" priority="12" operator="equal">
      <formula>B138</formula>
    </cfRule>
  </conditionalFormatting>
  <conditionalFormatting sqref="D138:E149">
    <cfRule type="cellIs" dxfId="89" priority="11" operator="equal">
      <formula>C138</formula>
    </cfRule>
  </conditionalFormatting>
  <conditionalFormatting sqref="F138:F149">
    <cfRule type="cellIs" dxfId="88" priority="9" operator="equal">
      <formula>G138</formula>
    </cfRule>
    <cfRule type="cellIs" dxfId="87" priority="10" operator="equal">
      <formula>E138</formula>
    </cfRule>
  </conditionalFormatting>
  <conditionalFormatting sqref="C138:C149">
    <cfRule type="cellIs" dxfId="86" priority="8" operator="equal">
      <formula>B138</formula>
    </cfRule>
  </conditionalFormatting>
  <conditionalFormatting sqref="D138:E149">
    <cfRule type="cellIs" dxfId="85" priority="7" operator="equal">
      <formula>C138</formula>
    </cfRule>
  </conditionalFormatting>
  <conditionalFormatting sqref="F138:F149">
    <cfRule type="cellIs" dxfId="84" priority="5" operator="equal">
      <formula>G138</formula>
    </cfRule>
    <cfRule type="cellIs" dxfId="83" priority="6" operator="equal">
      <formula>E138</formula>
    </cfRule>
  </conditionalFormatting>
  <conditionalFormatting sqref="C137">
    <cfRule type="cellIs" dxfId="82" priority="4" operator="equal">
      <formula>B137</formula>
    </cfRule>
  </conditionalFormatting>
  <conditionalFormatting sqref="D137:E137">
    <cfRule type="cellIs" dxfId="81" priority="3" operator="equal">
      <formula>C137</formula>
    </cfRule>
  </conditionalFormatting>
  <conditionalFormatting sqref="F137">
    <cfRule type="cellIs" dxfId="80" priority="1" operator="equal">
      <formula>G137</formula>
    </cfRule>
    <cfRule type="cellIs" dxfId="79" priority="2" operator="equal">
      <formula>E137</formula>
    </cfRule>
  </conditionalFormatting>
  <dataValidations disablePrompts="1" count="1">
    <dataValidation type="list" allowBlank="1" showInputMessage="1" showErrorMessage="1" sqref="N20" xr:uid="{00000000-0002-0000-0400-000000000000}">
      <formula1>$B$14:$E$14</formula1>
    </dataValidation>
  </dataValidations>
  <hyperlinks>
    <hyperlink ref="F1" location="Inventory!A1" display="Inventory" xr:uid="{00000000-0004-0000-0400-000000000000}"/>
    <hyperlink ref="F2" location="'HM-Det 3'!A169" display="AMFOM" xr:uid="{00000000-0004-0000-0400-000001000000}"/>
    <hyperlink ref="I128" location="'HM-Det 3'!A1" display="Top" xr:uid="{00000000-0004-0000-0400-000002000000}"/>
    <hyperlink ref="I129" location="Inventory!A1" display="Inventory" xr:uid="{00000000-0004-0000-0400-000003000000}"/>
  </hyperlinks>
  <pageMargins left="0.25" right="0.25" top="0.17" bottom="0.17" header="0.17" footer="0.17"/>
  <pageSetup paperSize="17" scale="38" orientation="portrait" r:id="rId1"/>
  <ignoredErrors>
    <ignoredError sqref="B63 C63:F63"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AI161"/>
  <sheetViews>
    <sheetView showGridLines="0" zoomScaleNormal="100" workbookViewId="0">
      <selection activeCell="F1" sqref="F1"/>
    </sheetView>
  </sheetViews>
  <sheetFormatPr defaultRowHeight="12.75" x14ac:dyDescent="0.2"/>
  <cols>
    <col min="1" max="1" width="60" style="105" customWidth="1"/>
    <col min="2" max="3" width="5.7109375" style="105" customWidth="1"/>
    <col min="4" max="4" width="5.7109375" style="151" customWidth="1"/>
    <col min="5" max="6" width="5.7109375" style="105" customWidth="1"/>
    <col min="7" max="8" width="5.7109375" customWidth="1"/>
    <col min="9" max="9" width="6.28515625" style="105" bestFit="1" customWidth="1"/>
    <col min="10" max="10" width="13.7109375" style="105" customWidth="1"/>
    <col min="11" max="11" width="5.7109375" style="105" customWidth="1"/>
    <col min="12" max="12" width="5.7109375" style="83" customWidth="1"/>
    <col min="13" max="13" width="13.7109375" style="83" customWidth="1"/>
    <col min="14" max="14" width="10.42578125" style="83" bestFit="1" customWidth="1"/>
    <col min="15" max="15" width="11.85546875" style="83" bestFit="1" customWidth="1"/>
    <col min="16" max="16" width="13.7109375" style="83" bestFit="1" customWidth="1"/>
    <col min="17" max="17" width="18.5703125" bestFit="1" customWidth="1"/>
    <col min="18" max="19" width="3" style="115" bestFit="1" customWidth="1"/>
    <col min="20" max="20" width="4" style="115" bestFit="1" customWidth="1"/>
    <col min="21" max="21" width="9.140625" style="115" customWidth="1"/>
    <col min="22" max="35" width="9.140625" style="115"/>
    <col min="36" max="16384" width="9.140625" style="105"/>
  </cols>
  <sheetData>
    <row r="1" spans="1:32" s="64" customFormat="1" ht="18.75" x14ac:dyDescent="0.3">
      <c r="A1" s="684" t="s">
        <v>218</v>
      </c>
      <c r="B1" s="684"/>
      <c r="C1" s="684"/>
      <c r="D1" s="562"/>
      <c r="F1" s="113" t="s">
        <v>52</v>
      </c>
      <c r="G1" s="562"/>
      <c r="H1" s="562"/>
      <c r="I1" s="60" t="s">
        <v>53</v>
      </c>
      <c r="J1" s="563">
        <v>44835</v>
      </c>
      <c r="K1" s="563"/>
      <c r="L1" s="64" t="s">
        <v>54</v>
      </c>
      <c r="M1" s="515" t="s">
        <v>219</v>
      </c>
      <c r="N1" s="273"/>
      <c r="O1" s="273"/>
      <c r="P1" s="273"/>
      <c r="Q1"/>
      <c r="V1" s="62"/>
      <c r="W1" s="62"/>
      <c r="X1" s="62"/>
      <c r="Y1" s="62"/>
      <c r="Z1" s="62"/>
      <c r="AA1" s="62"/>
      <c r="AB1" s="62"/>
      <c r="AC1" s="62"/>
      <c r="AD1" s="62"/>
      <c r="AE1" s="62"/>
      <c r="AF1" s="62"/>
    </row>
    <row r="2" spans="1:32" s="36" customFormat="1" x14ac:dyDescent="0.2">
      <c r="A2" s="217" t="s">
        <v>56</v>
      </c>
      <c r="B2" s="217">
        <v>4</v>
      </c>
      <c r="C2" s="217"/>
      <c r="F2" s="476" t="s">
        <v>3</v>
      </c>
      <c r="G2" s="25"/>
      <c r="H2" s="25"/>
      <c r="K2" s="25"/>
      <c r="L2" s="274"/>
      <c r="M2" s="274"/>
      <c r="N2" s="274"/>
      <c r="O2" s="274"/>
      <c r="P2" s="274"/>
      <c r="Q2" s="25"/>
    </row>
    <row r="3" spans="1:32" s="36" customFormat="1" ht="12" x14ac:dyDescent="0.2">
      <c r="A3" s="217" t="s">
        <v>57</v>
      </c>
      <c r="B3" s="217">
        <f>1.75</f>
        <v>1.75</v>
      </c>
      <c r="C3" s="217"/>
      <c r="G3" s="25"/>
      <c r="H3" s="25"/>
      <c r="K3" s="564"/>
      <c r="L3" s="274"/>
      <c r="M3" s="274"/>
      <c r="N3" s="274"/>
      <c r="O3" s="274"/>
      <c r="P3" s="274"/>
      <c r="Q3" s="25"/>
    </row>
    <row r="4" spans="1:32" s="36" customFormat="1" ht="12" x14ac:dyDescent="0.2">
      <c r="A4" s="217" t="s">
        <v>58</v>
      </c>
      <c r="B4" s="217">
        <v>6</v>
      </c>
      <c r="C4" s="217"/>
      <c r="G4" s="25"/>
      <c r="H4" s="25"/>
      <c r="K4" s="564"/>
      <c r="L4" s="274"/>
      <c r="M4" s="274"/>
      <c r="N4" s="274"/>
      <c r="O4" s="274"/>
      <c r="P4" s="274"/>
      <c r="Q4" s="25"/>
    </row>
    <row r="5" spans="1:32" s="36" customFormat="1" ht="12" x14ac:dyDescent="0.2">
      <c r="A5" s="217" t="s">
        <v>59</v>
      </c>
      <c r="B5" s="234">
        <v>2</v>
      </c>
      <c r="C5" s="217"/>
      <c r="G5" s="25"/>
      <c r="H5" s="25"/>
      <c r="K5" s="564"/>
      <c r="L5" s="274"/>
      <c r="M5" s="274"/>
      <c r="N5" s="274"/>
      <c r="O5" s="274"/>
      <c r="P5" s="274"/>
      <c r="Q5" s="25"/>
    </row>
    <row r="6" spans="1:32" s="36" customFormat="1" ht="12" x14ac:dyDescent="0.2">
      <c r="A6" s="217" t="s">
        <v>60</v>
      </c>
      <c r="B6" s="565">
        <v>24.8</v>
      </c>
      <c r="C6" s="217"/>
      <c r="G6" s="25"/>
      <c r="H6" s="25"/>
      <c r="K6" s="564"/>
      <c r="L6" s="275"/>
      <c r="M6" s="274"/>
      <c r="N6" s="274"/>
      <c r="O6" s="274"/>
      <c r="P6" s="274"/>
      <c r="Q6" s="25"/>
    </row>
    <row r="7" spans="1:32" s="36" customFormat="1" ht="12" x14ac:dyDescent="0.2">
      <c r="A7" s="217" t="s">
        <v>61</v>
      </c>
      <c r="B7" s="234">
        <f xml:space="preserve"> PRODUCT(B4,B6)</f>
        <v>148.80000000000001</v>
      </c>
      <c r="C7" s="217"/>
      <c r="G7" s="25"/>
      <c r="H7" s="25"/>
      <c r="K7" s="566"/>
      <c r="L7" s="566"/>
      <c r="M7" s="566"/>
      <c r="N7" s="566"/>
      <c r="O7" s="274"/>
      <c r="P7" s="274"/>
      <c r="Q7" s="25"/>
    </row>
    <row r="8" spans="1:32" s="36" customFormat="1" ht="12" x14ac:dyDescent="0.2">
      <c r="A8" s="217" t="s">
        <v>62</v>
      </c>
      <c r="B8" s="234">
        <f>B7/B5</f>
        <v>74.400000000000006</v>
      </c>
      <c r="C8" s="217"/>
      <c r="E8" s="219"/>
      <c r="G8" s="25"/>
      <c r="H8" s="25"/>
      <c r="K8" s="566"/>
      <c r="L8" s="566"/>
      <c r="M8" s="566"/>
      <c r="N8" s="566"/>
      <c r="O8" s="274"/>
      <c r="P8" s="274"/>
      <c r="Q8" s="25"/>
    </row>
    <row r="9" spans="1:32" s="36" customFormat="1" ht="12" x14ac:dyDescent="0.2">
      <c r="A9" s="217" t="s">
        <v>63</v>
      </c>
      <c r="B9" s="217">
        <f>C9*B4</f>
        <v>6</v>
      </c>
      <c r="C9" s="36">
        <v>1</v>
      </c>
      <c r="D9" s="567" t="s">
        <v>64</v>
      </c>
      <c r="G9" s="25"/>
      <c r="H9" s="568" t="s">
        <v>65</v>
      </c>
      <c r="I9" s="569">
        <v>0.4</v>
      </c>
      <c r="J9" s="569"/>
      <c r="K9" s="566"/>
      <c r="L9" s="566"/>
      <c r="M9" s="566"/>
      <c r="N9" s="566"/>
      <c r="O9" s="274"/>
      <c r="P9" s="274"/>
      <c r="Q9" s="25"/>
    </row>
    <row r="10" spans="1:32" s="36" customFormat="1" ht="12" x14ac:dyDescent="0.2">
      <c r="A10" s="217" t="s">
        <v>66</v>
      </c>
      <c r="B10" s="217">
        <f>C10*B4</f>
        <v>87.6</v>
      </c>
      <c r="C10" s="303">
        <v>14.6</v>
      </c>
      <c r="D10" s="567" t="s">
        <v>64</v>
      </c>
      <c r="G10" s="25"/>
      <c r="H10" s="570" t="s">
        <v>67</v>
      </c>
      <c r="I10" s="569">
        <v>7.2999999999999995E-2</v>
      </c>
      <c r="J10" s="569"/>
      <c r="K10" s="566"/>
      <c r="L10" s="566"/>
      <c r="M10" s="566"/>
      <c r="N10" s="566"/>
      <c r="O10" s="274"/>
      <c r="P10" s="274"/>
      <c r="Q10" s="25"/>
    </row>
    <row r="11" spans="1:32" s="36" customFormat="1" ht="12" x14ac:dyDescent="0.2">
      <c r="A11" s="226" t="s">
        <v>68</v>
      </c>
      <c r="B11" s="236">
        <f>C11*B4</f>
        <v>0</v>
      </c>
      <c r="C11" s="571">
        <v>0</v>
      </c>
      <c r="D11" s="567" t="s">
        <v>64</v>
      </c>
      <c r="G11" s="25"/>
      <c r="H11" s="25"/>
      <c r="K11" s="566"/>
      <c r="L11" s="566"/>
      <c r="M11" s="566"/>
      <c r="N11" s="566"/>
      <c r="O11" s="274"/>
      <c r="P11" s="274"/>
      <c r="Q11" s="25"/>
    </row>
    <row r="12" spans="1:32" s="36" customFormat="1" ht="12" x14ac:dyDescent="0.2">
      <c r="A12" s="217"/>
      <c r="B12" s="217"/>
      <c r="C12" s="217"/>
      <c r="D12" s="233"/>
      <c r="E12" s="217"/>
      <c r="G12" s="25"/>
      <c r="H12" s="25"/>
      <c r="K12" s="566"/>
      <c r="L12" s="566"/>
      <c r="M12" s="566"/>
      <c r="N12" s="566"/>
      <c r="O12" s="274"/>
      <c r="P12" s="274"/>
      <c r="Q12" s="25"/>
    </row>
    <row r="13" spans="1:32" s="36" customFormat="1" ht="59.25" x14ac:dyDescent="0.4">
      <c r="A13" s="572" t="s">
        <v>69</v>
      </c>
      <c r="B13" s="573" t="s">
        <v>70</v>
      </c>
      <c r="C13" s="573" t="s">
        <v>71</v>
      </c>
      <c r="D13" s="573" t="s">
        <v>72</v>
      </c>
      <c r="E13" s="34" t="s">
        <v>73</v>
      </c>
      <c r="F13" s="65" t="s">
        <v>74</v>
      </c>
      <c r="G13" s="25"/>
      <c r="H13" s="25"/>
      <c r="K13" s="566"/>
      <c r="L13" s="566"/>
      <c r="M13" s="574" t="s">
        <v>75</v>
      </c>
      <c r="N13" s="566"/>
      <c r="O13" s="575"/>
      <c r="P13" s="575"/>
      <c r="Q13" s="25"/>
    </row>
    <row r="14" spans="1:32" s="36" customFormat="1" ht="12" x14ac:dyDescent="0.2">
      <c r="A14" s="572" t="s">
        <v>76</v>
      </c>
      <c r="B14" s="576" t="s">
        <v>77</v>
      </c>
      <c r="C14" s="576" t="s">
        <v>78</v>
      </c>
      <c r="D14" s="576" t="s">
        <v>79</v>
      </c>
      <c r="E14" s="37" t="s">
        <v>80</v>
      </c>
      <c r="F14" s="66" t="s">
        <v>81</v>
      </c>
      <c r="G14" s="261">
        <v>1</v>
      </c>
      <c r="H14" s="25"/>
      <c r="I14" s="577"/>
      <c r="J14" s="577"/>
      <c r="K14" s="577"/>
      <c r="L14" s="114"/>
      <c r="M14" s="657"/>
      <c r="N14" s="657"/>
      <c r="O14" s="657"/>
      <c r="P14" s="657"/>
      <c r="Q14" s="25"/>
    </row>
    <row r="15" spans="1:32" s="36" customFormat="1" ht="12" x14ac:dyDescent="0.2">
      <c r="A15" s="572" t="s">
        <v>82</v>
      </c>
      <c r="B15" s="578">
        <v>1</v>
      </c>
      <c r="C15" s="578">
        <v>2</v>
      </c>
      <c r="D15" s="578">
        <v>3</v>
      </c>
      <c r="E15" s="38">
        <v>4</v>
      </c>
      <c r="F15" s="66">
        <v>28</v>
      </c>
      <c r="G15" s="261">
        <f>G14+1</f>
        <v>2</v>
      </c>
      <c r="H15" s="25"/>
      <c r="I15" s="579"/>
      <c r="J15" s="579"/>
      <c r="K15" s="579"/>
      <c r="L15" s="114"/>
      <c r="M15" s="657"/>
      <c r="N15" s="657"/>
      <c r="O15" s="657"/>
      <c r="P15" s="657"/>
      <c r="Q15" s="25"/>
    </row>
    <row r="16" spans="1:32" s="36" customFormat="1" ht="12" x14ac:dyDescent="0.2">
      <c r="A16" s="572" t="s">
        <v>83</v>
      </c>
      <c r="B16" s="576" t="s">
        <v>84</v>
      </c>
      <c r="C16" s="576" t="s">
        <v>84</v>
      </c>
      <c r="D16" s="580" t="s">
        <v>72</v>
      </c>
      <c r="E16" s="132" t="s">
        <v>73</v>
      </c>
      <c r="F16" s="228" t="s">
        <v>85</v>
      </c>
      <c r="G16" s="261">
        <f t="shared" ref="G16:G59" si="0">G15+1</f>
        <v>3</v>
      </c>
      <c r="H16" s="25"/>
      <c r="L16" s="581"/>
      <c r="M16" s="657"/>
      <c r="N16" s="310"/>
      <c r="O16" s="114"/>
      <c r="P16" s="114"/>
      <c r="Q16" s="25"/>
    </row>
    <row r="17" spans="1:22" s="36" customFormat="1" x14ac:dyDescent="0.2">
      <c r="A17" s="582" t="s">
        <v>86</v>
      </c>
      <c r="B17" s="583"/>
      <c r="C17" s="584"/>
      <c r="D17" s="585"/>
      <c r="E17" s="270"/>
      <c r="F17" s="134"/>
      <c r="G17" s="261">
        <f t="shared" si="0"/>
        <v>4</v>
      </c>
      <c r="H17" s="586"/>
      <c r="L17" s="581"/>
      <c r="M17" s="667" t="s">
        <v>87</v>
      </c>
      <c r="N17" s="667"/>
      <c r="O17" s="667"/>
      <c r="P17" s="667"/>
      <c r="Q17" s="25"/>
    </row>
    <row r="18" spans="1:22" s="36" customFormat="1" ht="12" x14ac:dyDescent="0.2">
      <c r="A18" s="76" t="s">
        <v>88</v>
      </c>
      <c r="B18" s="152">
        <v>0</v>
      </c>
      <c r="C18" s="152">
        <v>5</v>
      </c>
      <c r="D18" s="152">
        <f>IF(D95&lt;80,D96,MIN(D95,80))</f>
        <v>80</v>
      </c>
      <c r="E18" s="152">
        <f>IF(E95&lt;80,E96,MIN(E95,80))</f>
        <v>80</v>
      </c>
      <c r="F18" s="152">
        <f>IF(F95&lt;80,F96,MIN(F95,80))</f>
        <v>22</v>
      </c>
      <c r="G18" s="261">
        <f t="shared" si="0"/>
        <v>5</v>
      </c>
      <c r="H18" s="25"/>
      <c r="L18" s="581"/>
      <c r="M18" s="281"/>
      <c r="N18" s="281"/>
      <c r="O18" s="282"/>
      <c r="P18" s="282"/>
      <c r="Q18" s="25"/>
      <c r="S18" s="25"/>
      <c r="T18" s="25"/>
      <c r="U18" s="25"/>
      <c r="V18" s="25"/>
    </row>
    <row r="19" spans="1:22" s="36" customFormat="1" ht="12" x14ac:dyDescent="0.2">
      <c r="A19" s="77" t="s">
        <v>89</v>
      </c>
      <c r="B19" s="153">
        <v>0.5</v>
      </c>
      <c r="C19" s="153">
        <v>0.6</v>
      </c>
      <c r="D19" s="153">
        <v>0.7</v>
      </c>
      <c r="E19" s="28">
        <v>0.8</v>
      </c>
      <c r="F19" s="67">
        <f>I9</f>
        <v>0.4</v>
      </c>
      <c r="G19" s="261">
        <f t="shared" si="0"/>
        <v>6</v>
      </c>
      <c r="H19" s="83"/>
      <c r="L19" s="581"/>
      <c r="M19" s="114" t="s">
        <v>90</v>
      </c>
      <c r="N19" s="114"/>
      <c r="O19" s="284"/>
      <c r="P19" s="284"/>
      <c r="Q19" s="25"/>
    </row>
    <row r="20" spans="1:22" s="36" customFormat="1" x14ac:dyDescent="0.2">
      <c r="A20" s="125" t="s">
        <v>91</v>
      </c>
      <c r="B20" s="583"/>
      <c r="C20" s="584"/>
      <c r="D20" s="585"/>
      <c r="E20" s="270"/>
      <c r="F20" s="134"/>
      <c r="G20" s="261">
        <f t="shared" si="0"/>
        <v>7</v>
      </c>
      <c r="H20" s="83"/>
      <c r="L20" s="581"/>
      <c r="M20" s="114"/>
      <c r="N20" s="656" t="s">
        <v>80</v>
      </c>
      <c r="O20" s="285" t="s">
        <v>92</v>
      </c>
      <c r="P20" s="114"/>
      <c r="Q20" s="25"/>
    </row>
    <row r="21" spans="1:22" s="36" customFormat="1" ht="12" x14ac:dyDescent="0.2">
      <c r="A21" s="77" t="s">
        <v>93</v>
      </c>
      <c r="B21" s="587">
        <f>B19*$B$8</f>
        <v>37.200000000000003</v>
      </c>
      <c r="C21" s="587">
        <f>C19*$B$8</f>
        <v>44.64</v>
      </c>
      <c r="D21" s="587">
        <f>D19*$B$8</f>
        <v>52.08</v>
      </c>
      <c r="E21" s="128">
        <f>E19*$B$8</f>
        <v>59.52000000000001</v>
      </c>
      <c r="F21" s="128">
        <f>F19*$B$8</f>
        <v>29.760000000000005</v>
      </c>
      <c r="G21" s="261">
        <f t="shared" si="0"/>
        <v>8</v>
      </c>
      <c r="H21" s="25"/>
      <c r="L21" s="581"/>
      <c r="M21" s="114"/>
      <c r="N21" s="114"/>
      <c r="O21" s="114"/>
      <c r="P21" s="114"/>
      <c r="Q21" s="25"/>
    </row>
    <row r="22" spans="1:22" s="36" customFormat="1" ht="12" x14ac:dyDescent="0.2">
      <c r="A22" s="77" t="s">
        <v>94</v>
      </c>
      <c r="B22" s="588">
        <f>B21*$B$5</f>
        <v>74.400000000000006</v>
      </c>
      <c r="C22" s="588">
        <f>C21*$B$5</f>
        <v>89.28</v>
      </c>
      <c r="D22" s="588">
        <f>D21*$B$5</f>
        <v>104.16</v>
      </c>
      <c r="E22" s="260">
        <f>E21*$B$5</f>
        <v>119.04000000000002</v>
      </c>
      <c r="F22" s="260">
        <f>F21*$B$5</f>
        <v>59.52000000000001</v>
      </c>
      <c r="G22" s="261">
        <f t="shared" si="0"/>
        <v>9</v>
      </c>
      <c r="H22" s="25"/>
      <c r="L22" s="581"/>
      <c r="M22" s="589" t="s">
        <v>220</v>
      </c>
      <c r="N22" s="590">
        <f>HLOOKUP($N$20,$B$14:$G$59,G36,FALSE)</f>
        <v>1.5</v>
      </c>
      <c r="O22" s="288"/>
      <c r="P22" s="114"/>
      <c r="Q22" s="25"/>
    </row>
    <row r="23" spans="1:22" s="36" customFormat="1" ht="12" x14ac:dyDescent="0.2">
      <c r="A23" s="77" t="s">
        <v>96</v>
      </c>
      <c r="B23" s="380">
        <f>$B$9</f>
        <v>6</v>
      </c>
      <c r="C23" s="380">
        <f>$B$9</f>
        <v>6</v>
      </c>
      <c r="D23" s="380">
        <f>$B$9</f>
        <v>6</v>
      </c>
      <c r="E23" s="380">
        <f>$B$9</f>
        <v>6</v>
      </c>
      <c r="F23" s="381">
        <f>$B$9</f>
        <v>6</v>
      </c>
      <c r="G23" s="261">
        <f t="shared" si="0"/>
        <v>10</v>
      </c>
      <c r="H23" s="25"/>
      <c r="L23" s="581"/>
      <c r="M23" s="114"/>
      <c r="N23" s="114"/>
      <c r="O23" s="114"/>
      <c r="P23" s="114"/>
      <c r="Q23" s="25"/>
    </row>
    <row r="24" spans="1:22" s="36" customFormat="1" ht="12" x14ac:dyDescent="0.2">
      <c r="A24" s="77" t="s">
        <v>97</v>
      </c>
      <c r="B24" s="130">
        <f>IF(ISBLANK(B122),0,$B$10)</f>
        <v>0</v>
      </c>
      <c r="C24" s="130">
        <f>IF(ISBLANK(C122),0,$B$10)</f>
        <v>0</v>
      </c>
      <c r="D24" s="130">
        <f>IF(ISBLANK(D122),0,$B$10)</f>
        <v>0</v>
      </c>
      <c r="E24" s="130">
        <f>IF(ISBLANK(E122),0,$B$10)</f>
        <v>87.6</v>
      </c>
      <c r="F24" s="130">
        <f>IF(ISBLANK(F122),0,$B$10)</f>
        <v>0</v>
      </c>
      <c r="G24" s="261">
        <f t="shared" si="0"/>
        <v>11</v>
      </c>
      <c r="H24" s="83"/>
      <c r="I24" s="577"/>
      <c r="J24" s="577"/>
      <c r="K24" s="577"/>
      <c r="L24" s="581"/>
      <c r="M24" s="114" t="s">
        <v>98</v>
      </c>
      <c r="N24" s="591"/>
      <c r="O24" s="114"/>
      <c r="P24" s="114"/>
      <c r="Q24" s="25"/>
    </row>
    <row r="25" spans="1:22" s="36" customFormat="1" ht="12" x14ac:dyDescent="0.2">
      <c r="A25" s="77" t="s">
        <v>99</v>
      </c>
      <c r="B25" s="588">
        <f>B21*$B$5+SUM(B23:B24)</f>
        <v>80.400000000000006</v>
      </c>
      <c r="C25" s="588">
        <f>C21*$B$5+SUM(C23:C24)</f>
        <v>95.28</v>
      </c>
      <c r="D25" s="588">
        <f>D21*$B$5+SUM(D23:D24)</f>
        <v>110.16</v>
      </c>
      <c r="E25" s="260">
        <f>E21*$B$5+SUM(E23:E24)</f>
        <v>212.64000000000001</v>
      </c>
      <c r="F25" s="260">
        <f>F21*$B$5+SUM(F23:F24)</f>
        <v>65.52000000000001</v>
      </c>
      <c r="G25" s="261">
        <f t="shared" si="0"/>
        <v>12</v>
      </c>
      <c r="H25" s="83"/>
      <c r="L25" s="581"/>
      <c r="M25" s="114" t="s">
        <v>100</v>
      </c>
      <c r="N25" s="657" t="s">
        <v>203</v>
      </c>
      <c r="O25" s="657" t="s">
        <v>102</v>
      </c>
      <c r="P25" s="657" t="s">
        <v>103</v>
      </c>
      <c r="Q25" s="25"/>
    </row>
    <row r="26" spans="1:22" s="36" customFormat="1" ht="12" x14ac:dyDescent="0.2">
      <c r="A26" s="592" t="s">
        <v>104</v>
      </c>
      <c r="B26" s="593">
        <f>-IF(ISBLANK(B121),0,MIN(B$22*$I$10,B$22-B7*$I$9))</f>
        <v>-5.4312000000000005</v>
      </c>
      <c r="C26" s="593">
        <f>-IF(ISBLANK(C121),0,MIN(C$22*$I$10,C$22-C7*$I$9))</f>
        <v>-6.5174399999999997</v>
      </c>
      <c r="D26" s="593">
        <f>-IF(ISBLANK(D121),0,MIN(D$22*$I$10,D$22-B7*$I$9))</f>
        <v>-7.6036799999999989</v>
      </c>
      <c r="E26" s="69">
        <f>-IF(ISBLANK(E121),0,MIN(E$22*$I$10,E$22-$B$7*$I$9))</f>
        <v>0</v>
      </c>
      <c r="F26" s="69">
        <f>-IF(ISBLANK(F121),0,MIN(F$22*$I$10,F$22-$B$7*$I$9))</f>
        <v>0</v>
      </c>
      <c r="G26" s="261">
        <f t="shared" si="0"/>
        <v>13</v>
      </c>
      <c r="H26" s="83"/>
      <c r="L26" s="581"/>
      <c r="M26" s="25"/>
      <c r="N26" s="594">
        <v>1.5</v>
      </c>
      <c r="O26" s="310">
        <v>2.7</v>
      </c>
      <c r="P26" s="310">
        <v>2</v>
      </c>
      <c r="Q26" s="25"/>
    </row>
    <row r="27" spans="1:22" s="36" customFormat="1" ht="12" x14ac:dyDescent="0.2">
      <c r="A27" s="77" t="s">
        <v>105</v>
      </c>
      <c r="B27" s="587">
        <f>SUM(B25:B26)</f>
        <v>74.968800000000002</v>
      </c>
      <c r="C27" s="587">
        <f t="shared" ref="C27" si="1">SUM(C25:C26)</f>
        <v>88.762560000000008</v>
      </c>
      <c r="D27" s="587">
        <f>SUM(D25:D26)</f>
        <v>102.55632</v>
      </c>
      <c r="E27" s="128">
        <f t="shared" ref="E27:F27" si="2">SUM(E25:E26)</f>
        <v>212.64000000000001</v>
      </c>
      <c r="F27" s="128">
        <f t="shared" si="2"/>
        <v>65.52000000000001</v>
      </c>
      <c r="G27" s="261">
        <f t="shared" si="0"/>
        <v>14</v>
      </c>
      <c r="H27" s="25"/>
      <c r="L27" s="581"/>
      <c r="M27" s="595" t="s">
        <v>106</v>
      </c>
      <c r="N27" s="594"/>
      <c r="O27" s="310"/>
      <c r="P27" s="310"/>
      <c r="Q27" s="25"/>
    </row>
    <row r="28" spans="1:22" s="36" customFormat="1" ht="12" x14ac:dyDescent="0.2">
      <c r="A28" s="592" t="s">
        <v>107</v>
      </c>
      <c r="B28" s="128">
        <f>AVERAGE($E$22:$F$22,B22)</f>
        <v>84.320000000000007</v>
      </c>
      <c r="C28" s="128">
        <f>AVERAGE(F22,$B$22:$C$22)</f>
        <v>74.400000000000006</v>
      </c>
      <c r="D28" s="128">
        <f>AVERAGE($B$22:$D$22)</f>
        <v>89.280000000000015</v>
      </c>
      <c r="E28" s="128">
        <f>AVERAGE($C$22:$E$22)</f>
        <v>104.16000000000001</v>
      </c>
      <c r="F28" s="128" t="s">
        <v>108</v>
      </c>
      <c r="G28" s="261">
        <f t="shared" si="0"/>
        <v>15</v>
      </c>
      <c r="H28" s="25"/>
      <c r="L28" s="581"/>
      <c r="M28" s="114"/>
      <c r="N28" s="114"/>
      <c r="O28" s="114"/>
      <c r="P28" s="114"/>
      <c r="Q28" s="25"/>
    </row>
    <row r="29" spans="1:22" s="36" customFormat="1" x14ac:dyDescent="0.2">
      <c r="A29" s="596" t="s">
        <v>109</v>
      </c>
      <c r="B29" s="583"/>
      <c r="C29" s="584"/>
      <c r="D29" s="585"/>
      <c r="E29" s="270"/>
      <c r="F29" s="134"/>
      <c r="G29" s="261">
        <f t="shared" si="0"/>
        <v>16</v>
      </c>
      <c r="H29" s="25"/>
      <c r="M29" s="685" t="s">
        <v>110</v>
      </c>
      <c r="N29" s="685"/>
      <c r="O29" s="685"/>
      <c r="P29" s="685"/>
      <c r="Q29" s="685"/>
    </row>
    <row r="30" spans="1:22" s="36" customFormat="1" ht="12" x14ac:dyDescent="0.2">
      <c r="A30" s="592" t="s">
        <v>111</v>
      </c>
      <c r="B30" s="130">
        <f>IF(ISBLANK(B121),0,$B$11)</f>
        <v>0</v>
      </c>
      <c r="C30" s="130">
        <f>IF(ISBLANK(C121),0,$B$11)</f>
        <v>0</v>
      </c>
      <c r="D30" s="130">
        <f>IF(ISBLANK(D121),0,$B$11)</f>
        <v>0</v>
      </c>
      <c r="E30" s="130">
        <f>IF(ISBLANK(E121),0,$B$11)</f>
        <v>0</v>
      </c>
      <c r="F30" s="130">
        <f>IF(ISBLANK(F121),0,$B$11)</f>
        <v>0</v>
      </c>
      <c r="G30" s="261">
        <f t="shared" si="0"/>
        <v>17</v>
      </c>
      <c r="H30" s="25"/>
      <c r="M30" s="597" t="s">
        <v>112</v>
      </c>
      <c r="N30" s="597" t="s">
        <v>113</v>
      </c>
      <c r="O30" s="598" t="s">
        <v>114</v>
      </c>
      <c r="P30" s="656" t="s">
        <v>115</v>
      </c>
      <c r="Q30" s="656" t="s">
        <v>116</v>
      </c>
    </row>
    <row r="31" spans="1:22" s="36" customFormat="1" x14ac:dyDescent="0.2">
      <c r="A31" s="583" t="s">
        <v>117</v>
      </c>
      <c r="B31" s="583"/>
      <c r="C31" s="584"/>
      <c r="D31" s="585"/>
      <c r="E31" s="270"/>
      <c r="F31" s="131"/>
      <c r="G31" s="261">
        <f t="shared" si="0"/>
        <v>18</v>
      </c>
      <c r="H31" s="25"/>
      <c r="M31" s="599" t="str">
        <f>A49</f>
        <v>Ready Guns Sets</v>
      </c>
      <c r="N31" s="296">
        <v>3</v>
      </c>
      <c r="O31" s="590">
        <f>HLOOKUP($N$20,$B$14:$G$59,G49,FALSE)</f>
        <v>6</v>
      </c>
      <c r="P31" s="308">
        <f>IF(Q31&lt;=1,IF(ISERROR(MAX(0,$O31-N31)),0,MAX(0,$O31-N31)),IF(ISERROR(MAX(0,(O31-$N31)/Q31)),0,MAX(0,(O31-$N31)/Q31)))</f>
        <v>0.75</v>
      </c>
      <c r="Q31" s="315">
        <f>O31/$N$22</f>
        <v>4</v>
      </c>
    </row>
    <row r="32" spans="1:22" s="36" customFormat="1" ht="12" x14ac:dyDescent="0.2">
      <c r="A32" s="600" t="s">
        <v>118</v>
      </c>
      <c r="B32" s="28">
        <f>MAX(IF(B18&lt;60,0.6,IF(AND(B18&gt;59,B18&lt;90),0.8,IF(B18&gt;90,0.9,0))),MIN(1,B25/MAX($B$25:$E$25)))</f>
        <v>0.6</v>
      </c>
      <c r="C32" s="28">
        <f>MAX(IF(C18&lt;60,0.6,IF(AND(C18&gt;59,C18&lt;90),0.8,IF(C18&gt;90,0.9,0))),MIN(1,C25/MAX($B$25:$E$25)))</f>
        <v>0.6</v>
      </c>
      <c r="D32" s="28">
        <f>MAX(IF(D18&lt;60,0.6,IF(AND(D18&gt;59,D18&lt;90),0.8,IF(D18&gt;90,0.9,0))),MIN(1,D25/MAX($B$25:$E$25)))</f>
        <v>0.8</v>
      </c>
      <c r="E32" s="28">
        <f>MAX(IF(E18&lt;60,0.6,IF(AND(E18&gt;59,E18&lt;90),0.8,IF(E18&gt;90,0.9,0))),MIN(1,E25/MAX($B$25:$E$25)))</f>
        <v>1</v>
      </c>
      <c r="F32" s="28">
        <f>MAX(IF(F18&lt;60,0.6,IF(AND(F18&gt;59,F18&lt;90),0.8,IF(F18&gt;90,0.9,0))),MIN(1,F25/MAX($B$25:$E$25)))</f>
        <v>0.6</v>
      </c>
      <c r="G32" s="261">
        <f t="shared" si="0"/>
        <v>19</v>
      </c>
      <c r="H32" s="25"/>
      <c r="M32" s="599" t="str">
        <f>A51</f>
        <v>Ready MK 103 Sets</v>
      </c>
      <c r="N32" s="296">
        <v>2</v>
      </c>
      <c r="O32" s="590">
        <f>HLOOKUP($N$20,$B$14:$G$59,G51,FALSE)</f>
        <v>3</v>
      </c>
      <c r="P32" s="308">
        <f t="shared" ref="P32:P36" si="3">IF(Q32&lt;=1,IF(ISERROR(MAX(0,$O32-N32)),0,MAX(0,$O32-N32)),IF(ISERROR(MAX(0,(O32-$N32)/Q32)),0,MAX(0,(O32-$N32)/Q32)))</f>
        <v>0.5</v>
      </c>
      <c r="Q32" s="315">
        <f t="shared" ref="Q32:Q36" si="4">O32/$N$22</f>
        <v>2</v>
      </c>
    </row>
    <row r="33" spans="1:35" s="36" customFormat="1" ht="12" x14ac:dyDescent="0.2">
      <c r="A33" s="600" t="s">
        <v>119</v>
      </c>
      <c r="B33" s="153">
        <f t="shared" ref="B33:C33" si="5">0.75*B32</f>
        <v>0.44999999999999996</v>
      </c>
      <c r="C33" s="153">
        <f t="shared" si="5"/>
        <v>0.44999999999999996</v>
      </c>
      <c r="D33" s="153">
        <f>0.75*D32</f>
        <v>0.60000000000000009</v>
      </c>
      <c r="E33" s="70">
        <f>0.75*E32</f>
        <v>0.75</v>
      </c>
      <c r="F33" s="70">
        <f t="shared" ref="F33" si="6">0.75*F32</f>
        <v>0.44999999999999996</v>
      </c>
      <c r="G33" s="261">
        <f t="shared" si="0"/>
        <v>20</v>
      </c>
      <c r="H33" s="83"/>
      <c r="M33" s="599" t="str">
        <f>A53</f>
        <v>Ready MK 104 Sets</v>
      </c>
      <c r="N33" s="296">
        <v>1</v>
      </c>
      <c r="O33" s="590">
        <f>HLOOKUP($N$20,$B$14:$G$59,G53,FALSE)</f>
        <v>1.5</v>
      </c>
      <c r="P33" s="308">
        <f t="shared" si="3"/>
        <v>0.5</v>
      </c>
      <c r="Q33" s="315">
        <f t="shared" si="4"/>
        <v>1</v>
      </c>
    </row>
    <row r="34" spans="1:35" s="36" customFormat="1" ht="12" x14ac:dyDescent="0.2">
      <c r="A34" s="80" t="s">
        <v>120</v>
      </c>
      <c r="B34" s="70">
        <f>((B36*$B$153)/$B$2)</f>
        <v>0.32715591583304582</v>
      </c>
      <c r="C34" s="70">
        <f t="shared" ref="C34:F34" si="7">((C36*$B$153)/$B$2)</f>
        <v>0.32715591583304582</v>
      </c>
      <c r="D34" s="70">
        <f t="shared" si="7"/>
        <v>0.4362078877773945</v>
      </c>
      <c r="E34" s="70">
        <f t="shared" si="7"/>
        <v>0.27262992986087153</v>
      </c>
      <c r="F34" s="70">
        <f t="shared" si="7"/>
        <v>0.16357795791652291</v>
      </c>
      <c r="G34" s="261">
        <f t="shared" si="0"/>
        <v>21</v>
      </c>
      <c r="H34" s="586"/>
      <c r="M34" s="599" t="str">
        <f>A55</f>
        <v>Ready MK 105 Sets</v>
      </c>
      <c r="N34" s="296">
        <v>2</v>
      </c>
      <c r="O34" s="590">
        <f>HLOOKUP($N$20,$B$14:$G$59,G55,FALSE)</f>
        <v>2.25</v>
      </c>
      <c r="P34" s="308">
        <f t="shared" si="3"/>
        <v>0.16666666666666666</v>
      </c>
      <c r="Q34" s="315">
        <f t="shared" si="4"/>
        <v>1.5</v>
      </c>
    </row>
    <row r="35" spans="1:35" s="36" customFormat="1" ht="12" x14ac:dyDescent="0.2">
      <c r="A35" s="78" t="s">
        <v>121</v>
      </c>
      <c r="B35" s="451">
        <f>PRODUCT($B$2,B$32)</f>
        <v>2.4</v>
      </c>
      <c r="C35" s="451">
        <f>PRODUCT($B$2,C$32)</f>
        <v>2.4</v>
      </c>
      <c r="D35" s="451">
        <f>PRODUCT($B$2,D$32)</f>
        <v>3.2</v>
      </c>
      <c r="E35" s="451">
        <f>PRODUCT($B$2,E$32)</f>
        <v>4</v>
      </c>
      <c r="F35" s="451">
        <f>PRODUCT($B$2,F$32)</f>
        <v>2.4</v>
      </c>
      <c r="G35" s="261">
        <f t="shared" si="0"/>
        <v>22</v>
      </c>
      <c r="H35" s="601"/>
      <c r="M35" s="599" t="str">
        <f>A57</f>
        <v>Ready Q24 Sets</v>
      </c>
      <c r="N35" s="296">
        <v>2</v>
      </c>
      <c r="O35" s="590">
        <f>HLOOKUP($N$20,$B$14:$G$59,G57,FALSE)</f>
        <v>3</v>
      </c>
      <c r="P35" s="308">
        <f t="shared" si="3"/>
        <v>0.5</v>
      </c>
      <c r="Q35" s="315">
        <f t="shared" si="4"/>
        <v>2</v>
      </c>
    </row>
    <row r="36" spans="1:35" s="36" customFormat="1" ht="12" x14ac:dyDescent="0.2">
      <c r="A36" s="78" t="s">
        <v>122</v>
      </c>
      <c r="B36" s="450">
        <f>$B$2*B$33</f>
        <v>1.7999999999999998</v>
      </c>
      <c r="C36" s="450">
        <f>$B$2*C$33</f>
        <v>1.7999999999999998</v>
      </c>
      <c r="D36" s="450">
        <f>$B$2*D$33</f>
        <v>2.4000000000000004</v>
      </c>
      <c r="E36" s="450">
        <v>1.5</v>
      </c>
      <c r="F36" s="450">
        <v>0.9</v>
      </c>
      <c r="G36" s="261">
        <f t="shared" si="0"/>
        <v>23</v>
      </c>
      <c r="H36" s="601"/>
      <c r="M36" s="599" t="str">
        <f>A59</f>
        <v>Ready MOP Sets</v>
      </c>
      <c r="N36" s="296">
        <v>1</v>
      </c>
      <c r="O36" s="590">
        <f>HLOOKUP($N$20,$B$14:$G$59,G59,FALSE)</f>
        <v>0.75</v>
      </c>
      <c r="P36" s="308">
        <f t="shared" si="3"/>
        <v>0</v>
      </c>
      <c r="Q36" s="315">
        <f t="shared" si="4"/>
        <v>0.5</v>
      </c>
    </row>
    <row r="37" spans="1:35" s="36" customFormat="1" ht="12" x14ac:dyDescent="0.2">
      <c r="A37" s="527" t="s">
        <v>123</v>
      </c>
      <c r="B37" s="531">
        <f>B34*$B$2</f>
        <v>1.3086236633321833</v>
      </c>
      <c r="C37" s="531">
        <f>C34*$B$2</f>
        <v>1.3086236633321833</v>
      </c>
      <c r="D37" s="531">
        <f>D34*$B$2</f>
        <v>1.744831551109578</v>
      </c>
      <c r="E37" s="531">
        <f>E34*$B$2</f>
        <v>1.0905197194434861</v>
      </c>
      <c r="F37" s="531">
        <f>F34*$B$2</f>
        <v>0.65431183166609164</v>
      </c>
      <c r="G37" s="261">
        <f t="shared" si="0"/>
        <v>24</v>
      </c>
      <c r="H37" s="601"/>
      <c r="L37" s="285"/>
      <c r="M37" s="285"/>
      <c r="N37" s="310"/>
      <c r="O37" s="310"/>
      <c r="P37" s="114"/>
      <c r="Q37" s="25"/>
    </row>
    <row r="38" spans="1:35" s="25" customFormat="1" x14ac:dyDescent="0.2">
      <c r="A38" s="245" t="s">
        <v>124</v>
      </c>
      <c r="B38" s="452"/>
      <c r="C38" s="453"/>
      <c r="D38" s="453"/>
      <c r="E38" s="453"/>
      <c r="F38" s="454"/>
      <c r="G38" s="261">
        <f t="shared" si="0"/>
        <v>25</v>
      </c>
      <c r="H38" s="484"/>
      <c r="R38" s="36"/>
      <c r="S38" s="36"/>
      <c r="T38" s="36"/>
      <c r="U38" s="36"/>
      <c r="V38" s="36"/>
      <c r="W38" s="36"/>
      <c r="X38" s="36"/>
      <c r="Y38" s="36"/>
      <c r="Z38" s="36"/>
      <c r="AA38" s="36"/>
      <c r="AB38" s="36"/>
      <c r="AC38" s="36"/>
      <c r="AD38" s="36"/>
      <c r="AE38" s="36"/>
      <c r="AF38" s="36"/>
      <c r="AG38" s="36"/>
      <c r="AH38" s="36"/>
      <c r="AI38" s="36"/>
    </row>
    <row r="39" spans="1:35" s="25" customFormat="1" ht="12" x14ac:dyDescent="0.2">
      <c r="A39" s="446" t="s">
        <v>125</v>
      </c>
      <c r="B39" s="455">
        <f>B$36*$B154</f>
        <v>0.84437737150741643</v>
      </c>
      <c r="C39" s="455">
        <f t="shared" ref="C39:F39" si="8">C$36*$B154</f>
        <v>0.84437737150741643</v>
      </c>
      <c r="D39" s="455">
        <f t="shared" si="8"/>
        <v>1.1258364953432223</v>
      </c>
      <c r="E39" s="455">
        <f t="shared" si="8"/>
        <v>0.70364780958951378</v>
      </c>
      <c r="F39" s="455">
        <f t="shared" si="8"/>
        <v>0.42218868575370827</v>
      </c>
      <c r="G39" s="261">
        <f t="shared" si="0"/>
        <v>26</v>
      </c>
      <c r="H39" s="601"/>
      <c r="R39" s="36"/>
      <c r="S39" s="36"/>
      <c r="T39" s="36"/>
      <c r="U39" s="36"/>
      <c r="V39" s="36"/>
      <c r="W39" s="36"/>
      <c r="X39" s="36"/>
      <c r="Y39" s="36"/>
      <c r="Z39" s="36"/>
      <c r="AA39" s="36"/>
      <c r="AB39" s="36"/>
      <c r="AC39" s="36"/>
      <c r="AD39" s="36"/>
      <c r="AE39" s="36"/>
      <c r="AF39" s="36"/>
      <c r="AG39" s="36"/>
      <c r="AH39" s="36"/>
      <c r="AI39" s="36"/>
    </row>
    <row r="40" spans="1:35" s="25" customFormat="1" ht="12" x14ac:dyDescent="0.2">
      <c r="A40" s="446" t="s">
        <v>126</v>
      </c>
      <c r="B40" s="455">
        <f t="shared" ref="B40:F46" si="9">B$36*$B155</f>
        <v>0.82388754743014847</v>
      </c>
      <c r="C40" s="455">
        <f t="shared" si="9"/>
        <v>0.82388754743014847</v>
      </c>
      <c r="D40" s="455">
        <f t="shared" si="9"/>
        <v>1.098516729906865</v>
      </c>
      <c r="E40" s="455">
        <f t="shared" si="9"/>
        <v>0.68657295619179048</v>
      </c>
      <c r="F40" s="455">
        <f t="shared" si="9"/>
        <v>0.41194377371507429</v>
      </c>
      <c r="G40" s="261">
        <f t="shared" si="0"/>
        <v>27</v>
      </c>
      <c r="H40" s="601"/>
      <c r="R40" s="36"/>
      <c r="S40" s="36"/>
      <c r="T40" s="36"/>
      <c r="U40" s="36"/>
      <c r="V40" s="36"/>
      <c r="W40" s="36"/>
      <c r="X40" s="36"/>
      <c r="Y40" s="36"/>
      <c r="Z40" s="36"/>
      <c r="AA40" s="36"/>
      <c r="AB40" s="36"/>
      <c r="AC40" s="36"/>
      <c r="AD40" s="36"/>
      <c r="AE40" s="36"/>
      <c r="AF40" s="36"/>
      <c r="AG40" s="36"/>
      <c r="AH40" s="36"/>
      <c r="AI40" s="36"/>
    </row>
    <row r="41" spans="1:35" s="25" customFormat="1" ht="12" x14ac:dyDescent="0.2">
      <c r="A41" s="446" t="s">
        <v>127</v>
      </c>
      <c r="B41" s="455">
        <f t="shared" si="9"/>
        <v>1.0526905829596411</v>
      </c>
      <c r="C41" s="455">
        <f t="shared" si="9"/>
        <v>1.0526905829596411</v>
      </c>
      <c r="D41" s="455">
        <f t="shared" si="9"/>
        <v>1.4035874439461886</v>
      </c>
      <c r="E41" s="455">
        <f t="shared" si="9"/>
        <v>0.87724215246636772</v>
      </c>
      <c r="F41" s="455">
        <f t="shared" si="9"/>
        <v>0.52634529147982068</v>
      </c>
      <c r="G41" s="261">
        <f t="shared" si="0"/>
        <v>28</v>
      </c>
      <c r="H41" s="601"/>
      <c r="R41" s="36"/>
      <c r="S41" s="36"/>
      <c r="T41" s="36"/>
      <c r="U41" s="36"/>
      <c r="V41" s="36"/>
      <c r="W41" s="36"/>
      <c r="X41" s="36"/>
      <c r="Y41" s="36"/>
      <c r="Z41" s="36"/>
      <c r="AA41" s="36"/>
      <c r="AB41" s="36"/>
      <c r="AC41" s="36"/>
      <c r="AD41" s="36"/>
      <c r="AE41" s="36"/>
      <c r="AF41" s="36"/>
      <c r="AG41" s="36"/>
      <c r="AH41" s="36"/>
      <c r="AI41" s="36"/>
    </row>
    <row r="42" spans="1:35" s="25" customFormat="1" ht="12" x14ac:dyDescent="0.2">
      <c r="A42" s="509" t="s">
        <v>128</v>
      </c>
      <c r="B42" s="455">
        <f t="shared" si="9"/>
        <v>0</v>
      </c>
      <c r="C42" s="455">
        <f t="shared" si="9"/>
        <v>0</v>
      </c>
      <c r="D42" s="455">
        <f t="shared" si="9"/>
        <v>0</v>
      </c>
      <c r="E42" s="455">
        <f t="shared" si="9"/>
        <v>0</v>
      </c>
      <c r="F42" s="455">
        <f t="shared" si="9"/>
        <v>0</v>
      </c>
      <c r="G42" s="261">
        <f t="shared" si="0"/>
        <v>29</v>
      </c>
      <c r="R42" s="36"/>
      <c r="S42" s="36"/>
      <c r="T42" s="36"/>
      <c r="U42" s="36"/>
      <c r="V42" s="36"/>
      <c r="W42" s="36"/>
      <c r="X42" s="36"/>
      <c r="Y42" s="36"/>
      <c r="Z42" s="36"/>
      <c r="AA42" s="36"/>
      <c r="AB42" s="36"/>
      <c r="AC42" s="36"/>
      <c r="AD42" s="36"/>
      <c r="AE42" s="36"/>
      <c r="AF42" s="36"/>
      <c r="AG42" s="36"/>
      <c r="AH42" s="36"/>
      <c r="AI42" s="36"/>
    </row>
    <row r="43" spans="1:35" s="25" customFormat="1" ht="12" x14ac:dyDescent="0.2">
      <c r="A43" s="446" t="s">
        <v>129</v>
      </c>
      <c r="B43" s="455">
        <f t="shared" si="9"/>
        <v>0</v>
      </c>
      <c r="C43" s="455">
        <f t="shared" si="9"/>
        <v>0</v>
      </c>
      <c r="D43" s="455">
        <f t="shared" si="9"/>
        <v>0</v>
      </c>
      <c r="E43" s="455">
        <f t="shared" si="9"/>
        <v>0</v>
      </c>
      <c r="F43" s="455">
        <f t="shared" si="9"/>
        <v>0</v>
      </c>
      <c r="G43" s="261">
        <f t="shared" si="0"/>
        <v>30</v>
      </c>
      <c r="R43" s="36"/>
      <c r="S43" s="36"/>
      <c r="T43" s="36"/>
      <c r="U43" s="36"/>
      <c r="V43" s="36"/>
      <c r="W43" s="36"/>
      <c r="X43" s="36"/>
      <c r="Y43" s="36"/>
      <c r="Z43" s="36"/>
      <c r="AA43" s="36"/>
      <c r="AB43" s="36"/>
      <c r="AC43" s="36"/>
      <c r="AD43" s="36"/>
      <c r="AE43" s="36"/>
      <c r="AF43" s="36"/>
      <c r="AG43" s="36"/>
      <c r="AH43" s="36"/>
      <c r="AI43" s="36"/>
    </row>
    <row r="44" spans="1:35" s="25" customFormat="1" ht="12" x14ac:dyDescent="0.2">
      <c r="A44" s="446" t="s">
        <v>130</v>
      </c>
      <c r="B44" s="455">
        <f t="shared" si="9"/>
        <v>0.8449465332873406</v>
      </c>
      <c r="C44" s="455">
        <f t="shared" si="9"/>
        <v>0.8449465332873406</v>
      </c>
      <c r="D44" s="455">
        <f t="shared" si="9"/>
        <v>1.1265953777164546</v>
      </c>
      <c r="E44" s="455">
        <f t="shared" si="9"/>
        <v>0.704122111072784</v>
      </c>
      <c r="F44" s="455">
        <f t="shared" si="9"/>
        <v>0.42247326664367035</v>
      </c>
      <c r="G44" s="261">
        <f t="shared" si="0"/>
        <v>31</v>
      </c>
    </row>
    <row r="45" spans="1:35" s="36" customFormat="1" ht="12" x14ac:dyDescent="0.2">
      <c r="A45" s="446" t="s">
        <v>131</v>
      </c>
      <c r="B45" s="455">
        <f>IF(B$13="Deploy",B$36,B$36*$B160)</f>
        <v>1.0731804070369093</v>
      </c>
      <c r="C45" s="455">
        <f t="shared" ref="C45:F45" si="10">IF(C$13="Deploy",C$36,C$36*$B160)</f>
        <v>1.0731804070369093</v>
      </c>
      <c r="D45" s="455">
        <f t="shared" si="10"/>
        <v>1.4309072093825461</v>
      </c>
      <c r="E45" s="455">
        <f t="shared" si="10"/>
        <v>1.5</v>
      </c>
      <c r="F45" s="455">
        <f t="shared" si="10"/>
        <v>0.53659020351845477</v>
      </c>
      <c r="G45" s="261">
        <f t="shared" si="0"/>
        <v>32</v>
      </c>
      <c r="H45" s="25"/>
      <c r="Q45" s="25"/>
    </row>
    <row r="46" spans="1:35" s="36" customFormat="1" x14ac:dyDescent="0.2">
      <c r="A46" s="510" t="s">
        <v>132</v>
      </c>
      <c r="B46" s="455">
        <f t="shared" si="9"/>
        <v>1.7999999999999998</v>
      </c>
      <c r="C46" s="455">
        <f t="shared" si="9"/>
        <v>1.7999999999999998</v>
      </c>
      <c r="D46" s="455">
        <f t="shared" si="9"/>
        <v>2.4000000000000004</v>
      </c>
      <c r="E46" s="455">
        <f t="shared" si="9"/>
        <v>1.5</v>
      </c>
      <c r="F46" s="455">
        <f t="shared" si="9"/>
        <v>0.9</v>
      </c>
      <c r="G46" s="261">
        <f t="shared" si="0"/>
        <v>33</v>
      </c>
      <c r="H46" s="25"/>
      <c r="Q46" s="25"/>
    </row>
    <row r="47" spans="1:35" s="36" customFormat="1" x14ac:dyDescent="0.2">
      <c r="A47" s="583" t="s">
        <v>133</v>
      </c>
      <c r="B47" s="602"/>
      <c r="C47" s="603"/>
      <c r="D47" s="604"/>
      <c r="E47" s="605"/>
      <c r="F47" s="463"/>
      <c r="G47" s="261">
        <f t="shared" si="0"/>
        <v>34</v>
      </c>
      <c r="H47" s="25"/>
      <c r="L47" s="114"/>
      <c r="M47" s="591"/>
      <c r="N47" s="114"/>
      <c r="O47" s="114"/>
      <c r="P47" s="83"/>
      <c r="Q47" s="25"/>
    </row>
    <row r="48" spans="1:35" s="36" customFormat="1" ht="12" x14ac:dyDescent="0.2">
      <c r="A48" s="147" t="s">
        <v>134</v>
      </c>
      <c r="B48" s="456">
        <f t="shared" ref="B48:C48" si="11">B$35*2</f>
        <v>4.8</v>
      </c>
      <c r="C48" s="456">
        <f t="shared" si="11"/>
        <v>4.8</v>
      </c>
      <c r="D48" s="456">
        <f>D$35*2</f>
        <v>6.4</v>
      </c>
      <c r="E48" s="456">
        <f>E35*2</f>
        <v>8</v>
      </c>
      <c r="F48" s="456">
        <f>F$35*2</f>
        <v>4.8</v>
      </c>
      <c r="G48" s="261">
        <f t="shared" si="0"/>
        <v>35</v>
      </c>
      <c r="H48" s="25"/>
      <c r="L48" s="114"/>
      <c r="M48" s="114"/>
      <c r="N48" s="114"/>
      <c r="O48" s="114"/>
      <c r="P48" s="114"/>
      <c r="Q48" s="25"/>
    </row>
    <row r="49" spans="1:35" s="36" customFormat="1" ht="12" x14ac:dyDescent="0.2">
      <c r="A49" s="42" t="s">
        <v>135</v>
      </c>
      <c r="B49" s="464">
        <f t="shared" ref="B49:C49" si="12">B48*B$33</f>
        <v>2.1599999999999997</v>
      </c>
      <c r="C49" s="464">
        <f t="shared" si="12"/>
        <v>2.1599999999999997</v>
      </c>
      <c r="D49" s="464">
        <f>D48*D$33</f>
        <v>3.8400000000000007</v>
      </c>
      <c r="E49" s="464">
        <f>E48*E33</f>
        <v>6</v>
      </c>
      <c r="F49" s="451">
        <f>F$33*F48</f>
        <v>2.1599999999999997</v>
      </c>
      <c r="G49" s="261">
        <f t="shared" si="0"/>
        <v>36</v>
      </c>
      <c r="H49" s="25"/>
      <c r="L49" s="114"/>
      <c r="M49" s="686"/>
      <c r="N49" s="686"/>
      <c r="O49" s="657"/>
      <c r="P49" s="114"/>
      <c r="Q49" s="25"/>
    </row>
    <row r="50" spans="1:35" s="36" customFormat="1" ht="12" x14ac:dyDescent="0.2">
      <c r="A50" s="147" t="s">
        <v>136</v>
      </c>
      <c r="B50" s="456">
        <f t="shared" ref="B50:C50" si="13">B$35*1</f>
        <v>2.4</v>
      </c>
      <c r="C50" s="456">
        <f t="shared" si="13"/>
        <v>2.4</v>
      </c>
      <c r="D50" s="456">
        <f>D$35*1</f>
        <v>3.2</v>
      </c>
      <c r="E50" s="456">
        <f>E35*1</f>
        <v>4</v>
      </c>
      <c r="F50" s="457">
        <f>F$35*1</f>
        <v>2.4</v>
      </c>
      <c r="G50" s="261">
        <f t="shared" si="0"/>
        <v>37</v>
      </c>
      <c r="H50" s="25"/>
      <c r="L50" s="114"/>
      <c r="M50" s="285"/>
      <c r="N50" s="310"/>
      <c r="O50" s="310"/>
      <c r="P50" s="114"/>
      <c r="Q50" s="25"/>
    </row>
    <row r="51" spans="1:35" s="36" customFormat="1" ht="12" x14ac:dyDescent="0.2">
      <c r="A51" s="42" t="s">
        <v>137</v>
      </c>
      <c r="B51" s="451">
        <f t="shared" ref="B51:C51" si="14">B50*B$33</f>
        <v>1.0799999999999998</v>
      </c>
      <c r="C51" s="451">
        <f t="shared" si="14"/>
        <v>1.0799999999999998</v>
      </c>
      <c r="D51" s="451">
        <f>D50*D$33</f>
        <v>1.9200000000000004</v>
      </c>
      <c r="E51" s="531">
        <f>E50*E33</f>
        <v>3</v>
      </c>
      <c r="F51" s="531">
        <f>F$33*F50</f>
        <v>1.0799999999999998</v>
      </c>
      <c r="G51" s="261">
        <f t="shared" si="0"/>
        <v>38</v>
      </c>
      <c r="H51" s="25"/>
      <c r="I51" s="304"/>
      <c r="J51" s="304"/>
      <c r="K51" s="25"/>
      <c r="L51" s="114"/>
      <c r="M51" s="606"/>
      <c r="N51" s="310"/>
      <c r="O51" s="310"/>
      <c r="P51" s="114"/>
      <c r="Q51" s="25"/>
    </row>
    <row r="52" spans="1:35" s="36" customFormat="1" ht="12" x14ac:dyDescent="0.2">
      <c r="A52" s="147" t="s">
        <v>138</v>
      </c>
      <c r="B52" s="457">
        <v>0</v>
      </c>
      <c r="C52" s="457">
        <v>1</v>
      </c>
      <c r="D52" s="457">
        <v>2</v>
      </c>
      <c r="E52" s="457">
        <f>E35*0.5</f>
        <v>2</v>
      </c>
      <c r="F52" s="457">
        <f>F$35*0.5</f>
        <v>1.2</v>
      </c>
      <c r="G52" s="261">
        <f t="shared" si="0"/>
        <v>39</v>
      </c>
      <c r="H52" s="25"/>
      <c r="I52" s="303"/>
      <c r="J52" s="303"/>
      <c r="K52" s="233"/>
      <c r="L52" s="285"/>
      <c r="M52" s="285"/>
      <c r="N52" s="310"/>
      <c r="O52" s="310"/>
      <c r="P52" s="114"/>
      <c r="Q52" s="25"/>
    </row>
    <row r="53" spans="1:35" s="36" customFormat="1" ht="12" x14ac:dyDescent="0.2">
      <c r="A53" s="42" t="s">
        <v>139</v>
      </c>
      <c r="B53" s="451">
        <f t="shared" ref="B53:C53" si="15">B52*B$33</f>
        <v>0</v>
      </c>
      <c r="C53" s="451">
        <f t="shared" si="15"/>
        <v>0.44999999999999996</v>
      </c>
      <c r="D53" s="451">
        <f>D52*D$33</f>
        <v>1.2000000000000002</v>
      </c>
      <c r="E53" s="531">
        <f>E52*E33</f>
        <v>1.5</v>
      </c>
      <c r="F53" s="531">
        <f>F$33*F52</f>
        <v>0.53999999999999992</v>
      </c>
      <c r="G53" s="261">
        <f t="shared" si="0"/>
        <v>40</v>
      </c>
      <c r="H53" s="25"/>
      <c r="I53" s="304"/>
      <c r="J53" s="304"/>
      <c r="K53" s="25"/>
      <c r="L53" s="285"/>
      <c r="M53" s="606"/>
      <c r="N53" s="310"/>
      <c r="O53" s="310"/>
      <c r="P53" s="114"/>
      <c r="Q53" s="25"/>
    </row>
    <row r="54" spans="1:35" s="36" customFormat="1" ht="12" x14ac:dyDescent="0.2">
      <c r="A54" s="147" t="s">
        <v>140</v>
      </c>
      <c r="B54" s="457">
        <v>0</v>
      </c>
      <c r="C54" s="457">
        <v>0</v>
      </c>
      <c r="D54" s="457">
        <v>1</v>
      </c>
      <c r="E54" s="457">
        <v>3</v>
      </c>
      <c r="F54" s="457">
        <v>1.8</v>
      </c>
      <c r="G54" s="261">
        <f t="shared" si="0"/>
        <v>41</v>
      </c>
      <c r="H54" s="25"/>
      <c r="I54" s="303"/>
      <c r="J54" s="303"/>
      <c r="K54" s="233"/>
      <c r="L54" s="285"/>
      <c r="M54" s="285"/>
      <c r="N54" s="310"/>
      <c r="O54" s="310"/>
      <c r="P54" s="114"/>
      <c r="Q54" s="25"/>
    </row>
    <row r="55" spans="1:35" s="36" customFormat="1" ht="12" x14ac:dyDescent="0.2">
      <c r="A55" s="42" t="s">
        <v>141</v>
      </c>
      <c r="B55" s="451">
        <f t="shared" ref="B55:C55" si="16">B54*B$33</f>
        <v>0</v>
      </c>
      <c r="C55" s="451">
        <f t="shared" si="16"/>
        <v>0</v>
      </c>
      <c r="D55" s="451">
        <f>D54*D$33</f>
        <v>0.60000000000000009</v>
      </c>
      <c r="E55" s="531">
        <f>E54*0.75</f>
        <v>2.25</v>
      </c>
      <c r="F55" s="531">
        <f>F54*0.75</f>
        <v>1.35</v>
      </c>
      <c r="G55" s="261">
        <f t="shared" si="0"/>
        <v>42</v>
      </c>
      <c r="H55" s="25"/>
      <c r="I55" s="304"/>
      <c r="J55" s="304"/>
      <c r="K55" s="25"/>
      <c r="L55" s="285"/>
      <c r="M55" s="606"/>
      <c r="N55" s="310"/>
      <c r="O55" s="310"/>
      <c r="P55" s="114"/>
      <c r="Q55" s="25"/>
    </row>
    <row r="56" spans="1:35" s="36" customFormat="1" ht="12" x14ac:dyDescent="0.2">
      <c r="A56" s="147" t="s">
        <v>142</v>
      </c>
      <c r="B56" s="457">
        <v>0</v>
      </c>
      <c r="C56" s="457">
        <v>0</v>
      </c>
      <c r="D56" s="457">
        <v>1</v>
      </c>
      <c r="E56" s="457">
        <f>E35*1</f>
        <v>4</v>
      </c>
      <c r="F56" s="457">
        <f>F35*1</f>
        <v>2.4</v>
      </c>
      <c r="G56" s="261">
        <f t="shared" si="0"/>
        <v>43</v>
      </c>
      <c r="H56" s="25"/>
      <c r="I56" s="303"/>
      <c r="J56" s="303"/>
      <c r="K56" s="233"/>
      <c r="L56" s="285"/>
      <c r="M56" s="285"/>
      <c r="N56" s="310"/>
      <c r="O56" s="310"/>
      <c r="P56" s="114"/>
      <c r="Q56" s="25"/>
    </row>
    <row r="57" spans="1:35" s="36" customFormat="1" ht="12" x14ac:dyDescent="0.2">
      <c r="A57" s="42" t="s">
        <v>143</v>
      </c>
      <c r="B57" s="451">
        <f t="shared" ref="B57:C57" si="17">B56*B$33</f>
        <v>0</v>
      </c>
      <c r="C57" s="451">
        <f t="shared" si="17"/>
        <v>0</v>
      </c>
      <c r="D57" s="451">
        <f>D56*D$33</f>
        <v>0.60000000000000009</v>
      </c>
      <c r="E57" s="531">
        <f>E56*E33</f>
        <v>3</v>
      </c>
      <c r="F57" s="531">
        <f>F56*F33</f>
        <v>1.0799999999999998</v>
      </c>
      <c r="G57" s="261">
        <f t="shared" si="0"/>
        <v>44</v>
      </c>
      <c r="H57" s="25"/>
      <c r="I57" s="304"/>
      <c r="J57" s="304"/>
      <c r="K57" s="25"/>
      <c r="L57" s="285"/>
      <c r="M57" s="606"/>
      <c r="N57" s="310"/>
      <c r="O57" s="310"/>
      <c r="P57" s="114"/>
      <c r="Q57" s="25"/>
    </row>
    <row r="58" spans="1:35" s="36" customFormat="1" ht="12" x14ac:dyDescent="0.2">
      <c r="A58" s="147" t="s">
        <v>144</v>
      </c>
      <c r="B58" s="457">
        <v>0</v>
      </c>
      <c r="C58" s="457">
        <v>1</v>
      </c>
      <c r="D58" s="457">
        <v>2</v>
      </c>
      <c r="E58" s="457">
        <f>$E35*0.25</f>
        <v>1</v>
      </c>
      <c r="F58" s="457">
        <f>$E35*0.25</f>
        <v>1</v>
      </c>
      <c r="G58" s="261">
        <f t="shared" si="0"/>
        <v>45</v>
      </c>
      <c r="H58" s="25"/>
      <c r="I58" s="303"/>
      <c r="J58" s="303"/>
      <c r="K58" s="233"/>
      <c r="L58" s="285"/>
      <c r="M58" s="285"/>
      <c r="N58" s="310"/>
      <c r="O58" s="310"/>
      <c r="P58" s="114"/>
      <c r="Q58" s="25"/>
    </row>
    <row r="59" spans="1:35" s="36" customFormat="1" ht="12" x14ac:dyDescent="0.2">
      <c r="A59" s="42" t="s">
        <v>145</v>
      </c>
      <c r="B59" s="451">
        <f t="shared" ref="B59:C59" si="18">B58*B$33</f>
        <v>0</v>
      </c>
      <c r="C59" s="451">
        <f t="shared" si="18"/>
        <v>0.44999999999999996</v>
      </c>
      <c r="D59" s="451">
        <f>D58*D$33</f>
        <v>1.2000000000000002</v>
      </c>
      <c r="E59" s="531">
        <f>E58*E33</f>
        <v>0.75</v>
      </c>
      <c r="F59" s="531">
        <f>F58*F33</f>
        <v>0.44999999999999996</v>
      </c>
      <c r="G59" s="261">
        <f t="shared" si="0"/>
        <v>46</v>
      </c>
      <c r="H59" s="25"/>
      <c r="I59" s="304"/>
      <c r="J59" s="304"/>
      <c r="K59" s="25"/>
      <c r="L59" s="285"/>
      <c r="M59" s="606"/>
      <c r="N59" s="310"/>
      <c r="O59" s="310"/>
      <c r="P59" s="114"/>
      <c r="Q59" s="25"/>
    </row>
    <row r="60" spans="1:35" s="25" customFormat="1" x14ac:dyDescent="0.2">
      <c r="A60" s="583" t="s">
        <v>146</v>
      </c>
      <c r="B60" s="583"/>
      <c r="C60" s="584"/>
      <c r="D60" s="585"/>
      <c r="E60" s="270"/>
      <c r="F60" s="131"/>
      <c r="G60" s="607"/>
      <c r="I60" s="304"/>
      <c r="J60" s="304"/>
      <c r="K60" s="609"/>
      <c r="L60" s="285"/>
      <c r="M60" s="285"/>
      <c r="N60" s="310"/>
      <c r="O60" s="310"/>
      <c r="P60" s="114"/>
      <c r="R60" s="36"/>
      <c r="S60" s="36"/>
      <c r="T60" s="36"/>
      <c r="U60" s="36"/>
      <c r="V60" s="36"/>
      <c r="W60" s="36"/>
      <c r="X60" s="36"/>
      <c r="Y60" s="36"/>
      <c r="Z60" s="36"/>
      <c r="AA60" s="36"/>
      <c r="AB60" s="36"/>
      <c r="AC60" s="36"/>
      <c r="AD60" s="36"/>
      <c r="AE60" s="36"/>
      <c r="AF60" s="36"/>
      <c r="AG60" s="36"/>
      <c r="AH60" s="36"/>
      <c r="AI60" s="36"/>
    </row>
    <row r="61" spans="1:35" s="25" customFormat="1" ht="12" x14ac:dyDescent="0.2">
      <c r="A61" s="173" t="str">
        <f>A104</f>
        <v>Pilot Upper Limit</v>
      </c>
      <c r="B61" s="608">
        <f>$B$104</f>
        <v>12</v>
      </c>
      <c r="C61" s="608">
        <f>$B$104</f>
        <v>12</v>
      </c>
      <c r="D61" s="608">
        <f>$B$104</f>
        <v>12</v>
      </c>
      <c r="E61" s="174">
        <f>$B$104</f>
        <v>12</v>
      </c>
      <c r="F61" s="174">
        <f>$B$104</f>
        <v>12</v>
      </c>
      <c r="G61" s="609"/>
      <c r="I61" s="304"/>
      <c r="J61" s="304"/>
      <c r="L61" s="285"/>
      <c r="M61" s="606"/>
      <c r="N61" s="310"/>
      <c r="O61" s="310"/>
      <c r="P61" s="114"/>
      <c r="R61" s="36"/>
      <c r="S61" s="36"/>
      <c r="T61" s="36"/>
      <c r="U61" s="36"/>
      <c r="V61" s="36"/>
      <c r="W61" s="36"/>
      <c r="X61" s="36"/>
      <c r="Y61" s="36"/>
      <c r="Z61" s="36"/>
      <c r="AA61" s="36"/>
      <c r="AB61" s="36"/>
      <c r="AC61" s="36"/>
      <c r="AD61" s="36"/>
      <c r="AE61" s="36"/>
      <c r="AF61" s="36"/>
      <c r="AG61" s="36"/>
      <c r="AH61" s="36"/>
      <c r="AI61" s="36"/>
    </row>
    <row r="62" spans="1:35" s="25" customFormat="1" ht="12" x14ac:dyDescent="0.2">
      <c r="A62" s="177" t="str">
        <f t="shared" ref="A62:A74" si="19">A105</f>
        <v>Pilot Lower Limit</v>
      </c>
      <c r="B62" s="610">
        <f>ROUNDUP(IF(B$13="DEPLOY",MAX((B$98/100)*$B104,$B104),(B$98/100)*$B104),0)</f>
        <v>1</v>
      </c>
      <c r="C62" s="610">
        <f>ROUNDUP(IF(C$13="DEPLOY",MAX((C$98/100)*$B104,$B104),(C$98/100)*$B104),0)</f>
        <v>3</v>
      </c>
      <c r="D62" s="610">
        <f>ROUNDUP(IF(D$13="DEPLOY",MAX((D$98/100)*$B104,$B104),(D$98/100)*$B104),0)</f>
        <v>10</v>
      </c>
      <c r="E62" s="178">
        <f>ROUNDUP(IF(E$13="Deploy",MAX((E$98/100)*$B104,$B104),(E$98/100)*$B104),0)</f>
        <v>12</v>
      </c>
      <c r="F62" s="178">
        <f>ROUNDUP(IF(F$13="Deploy",MAX((F$98/100)*$B104,$B104),(F$98/100)*$B104),0)</f>
        <v>5</v>
      </c>
      <c r="G62" s="609"/>
      <c r="H62" s="607"/>
      <c r="I62" s="609"/>
      <c r="J62" s="609"/>
      <c r="K62" s="609"/>
      <c r="L62" s="285"/>
      <c r="M62" s="657"/>
      <c r="N62" s="657"/>
      <c r="O62" s="657"/>
      <c r="P62" s="114"/>
      <c r="R62" s="36"/>
      <c r="S62" s="36"/>
      <c r="T62" s="36"/>
      <c r="U62" s="36"/>
      <c r="V62" s="36"/>
      <c r="W62" s="36"/>
      <c r="X62" s="36"/>
      <c r="Y62" s="36"/>
      <c r="Z62" s="36"/>
      <c r="AA62" s="36"/>
      <c r="AB62" s="36"/>
      <c r="AC62" s="36"/>
      <c r="AD62" s="36"/>
      <c r="AE62" s="36"/>
      <c r="AF62" s="36"/>
      <c r="AG62" s="36"/>
      <c r="AH62" s="36"/>
      <c r="AI62" s="36"/>
    </row>
    <row r="63" spans="1:35" s="25" customFormat="1" ht="12" x14ac:dyDescent="0.2">
      <c r="A63" s="173" t="str">
        <f t="shared" si="19"/>
        <v>Aircrew Upper Limit</v>
      </c>
      <c r="B63" s="611">
        <f>$B$106</f>
        <v>28</v>
      </c>
      <c r="C63" s="611">
        <f>$B$106</f>
        <v>28</v>
      </c>
      <c r="D63" s="611">
        <f>$B$106</f>
        <v>28</v>
      </c>
      <c r="E63" s="612">
        <f>$B$106</f>
        <v>28</v>
      </c>
      <c r="F63" s="612">
        <f>$B$106</f>
        <v>28</v>
      </c>
      <c r="G63" s="609"/>
      <c r="H63" s="609"/>
      <c r="I63" s="607"/>
      <c r="J63" s="607"/>
      <c r="K63" s="607"/>
      <c r="L63" s="114"/>
      <c r="M63" s="310"/>
      <c r="N63" s="310"/>
      <c r="O63" s="310"/>
      <c r="P63" s="114"/>
      <c r="R63" s="36"/>
      <c r="S63" s="36"/>
      <c r="T63" s="36"/>
      <c r="U63" s="36"/>
      <c r="V63" s="36"/>
      <c r="W63" s="36"/>
      <c r="X63" s="36"/>
      <c r="Y63" s="36"/>
      <c r="Z63" s="36"/>
      <c r="AA63" s="36"/>
      <c r="AB63" s="36"/>
      <c r="AC63" s="36"/>
      <c r="AD63" s="36"/>
      <c r="AE63" s="36"/>
      <c r="AF63" s="36"/>
      <c r="AG63" s="36"/>
      <c r="AH63" s="36"/>
      <c r="AI63" s="36"/>
    </row>
    <row r="64" spans="1:35" s="25" customFormat="1" ht="12" x14ac:dyDescent="0.2">
      <c r="A64" s="177" t="str">
        <f t="shared" si="19"/>
        <v>Aircrew Lower Limit</v>
      </c>
      <c r="B64" s="610">
        <f>ROUNDUP(IF(B$13="DEPLOY",MAX((B$98/100)*$B106,$B106),(B$98/100)*$B106),0)</f>
        <v>2</v>
      </c>
      <c r="C64" s="610">
        <f>ROUNDUP(IF(C$13="DEPLOY",MAX((C$98/100)*$B106,$B106),(C$98/100)*$B106),0)</f>
        <v>6</v>
      </c>
      <c r="D64" s="610">
        <f>ROUNDUP(IF(D$13="DEPLOY",MAX((D$98/100)*$B106,$B106),(D$98/100)*$B106),0)</f>
        <v>23</v>
      </c>
      <c r="E64" s="178">
        <f>ROUNDUP(IF(E$13="Deploy",MAX((E$98/100)*$B106,$B106),(E$98/100)*$B106),0)</f>
        <v>28</v>
      </c>
      <c r="F64" s="178">
        <f>ROUNDUP(IF(F$13="Deploy",MAX((F$98/100)*$B106,$B106),(F$98/100)*$B106),0)</f>
        <v>11</v>
      </c>
      <c r="G64" s="609"/>
      <c r="H64" s="609"/>
      <c r="I64" s="609"/>
      <c r="J64" s="609"/>
      <c r="K64" s="609"/>
      <c r="L64" s="114"/>
      <c r="M64" s="114"/>
      <c r="N64" s="114"/>
      <c r="O64" s="114"/>
      <c r="P64" s="114"/>
      <c r="R64" s="36"/>
      <c r="S64" s="36"/>
      <c r="T64" s="36"/>
      <c r="U64" s="36"/>
      <c r="V64" s="36"/>
      <c r="W64" s="36"/>
      <c r="X64" s="36"/>
      <c r="Y64" s="36"/>
      <c r="Z64" s="36"/>
      <c r="AA64" s="36"/>
      <c r="AB64" s="36"/>
      <c r="AC64" s="36"/>
      <c r="AD64" s="36"/>
      <c r="AE64" s="36"/>
      <c r="AF64" s="36"/>
      <c r="AG64" s="36"/>
      <c r="AH64" s="36"/>
      <c r="AI64" s="36"/>
    </row>
    <row r="65" spans="1:35" s="25" customFormat="1" ht="12" x14ac:dyDescent="0.2">
      <c r="A65" s="177" t="str">
        <f t="shared" si="19"/>
        <v>&gt;= ACTC LEVEL 3 PILOT - MIW</v>
      </c>
      <c r="B65" s="610">
        <f t="shared" ref="B65:D75" si="20">ROUNDUP(IF(B$13="DEPLOY",MAX((B$98/100)*$B108,$B108),(B$98/100)*$B108),0)</f>
        <v>1</v>
      </c>
      <c r="C65" s="610">
        <f t="shared" si="20"/>
        <v>1</v>
      </c>
      <c r="D65" s="610">
        <f t="shared" si="20"/>
        <v>4</v>
      </c>
      <c r="E65" s="178">
        <f t="shared" ref="E65:F72" si="21">ROUNDUP(IF(E$13="Deploy",MAX((E$98/100)*$B108,$B108),(E$98/100)*$B108),0)</f>
        <v>5</v>
      </c>
      <c r="F65" s="178">
        <f t="shared" si="21"/>
        <v>2</v>
      </c>
      <c r="G65" s="609"/>
      <c r="H65" s="609"/>
      <c r="I65" s="609"/>
      <c r="J65" s="609"/>
      <c r="K65" s="609"/>
      <c r="L65" s="83"/>
      <c r="M65" s="114"/>
      <c r="N65" s="310"/>
      <c r="O65" s="310"/>
      <c r="P65" s="114"/>
      <c r="R65" s="36"/>
      <c r="S65" s="36"/>
      <c r="T65" s="36"/>
      <c r="U65" s="36"/>
      <c r="V65" s="36"/>
      <c r="W65" s="36"/>
      <c r="X65" s="36"/>
      <c r="Y65" s="36"/>
      <c r="Z65" s="36"/>
      <c r="AA65" s="36"/>
      <c r="AB65" s="36"/>
      <c r="AC65" s="36"/>
      <c r="AD65" s="36"/>
      <c r="AE65" s="36"/>
      <c r="AF65" s="36"/>
      <c r="AG65" s="36"/>
      <c r="AH65" s="36"/>
      <c r="AI65" s="36"/>
    </row>
    <row r="66" spans="1:35" s="25" customFormat="1" ht="12" x14ac:dyDescent="0.2">
      <c r="A66" s="177" t="str">
        <f t="shared" si="19"/>
        <v>&gt;= ACTC LEVEL 3 PILOT - MOB/LOG</v>
      </c>
      <c r="B66" s="271">
        <f t="shared" si="20"/>
        <v>1</v>
      </c>
      <c r="C66" s="271">
        <f t="shared" si="20"/>
        <v>1</v>
      </c>
      <c r="D66" s="271">
        <f t="shared" si="20"/>
        <v>4</v>
      </c>
      <c r="E66" s="178">
        <f t="shared" si="21"/>
        <v>5</v>
      </c>
      <c r="F66" s="178">
        <f t="shared" si="21"/>
        <v>2</v>
      </c>
      <c r="G66" s="609"/>
      <c r="H66" s="609"/>
      <c r="I66" s="609"/>
      <c r="J66" s="609"/>
      <c r="K66" s="609"/>
      <c r="L66" s="114"/>
      <c r="M66" s="114"/>
      <c r="N66" s="114"/>
      <c r="O66" s="114"/>
      <c r="P66" s="114"/>
      <c r="R66" s="36"/>
      <c r="S66" s="36"/>
      <c r="T66" s="36"/>
      <c r="U66" s="36"/>
      <c r="V66" s="36"/>
      <c r="W66" s="36"/>
      <c r="X66" s="36"/>
      <c r="Y66" s="36"/>
      <c r="Z66" s="36"/>
      <c r="AA66" s="36"/>
      <c r="AB66" s="36"/>
      <c r="AC66" s="36"/>
      <c r="AD66" s="36"/>
      <c r="AE66" s="36"/>
      <c r="AF66" s="36"/>
      <c r="AG66" s="36"/>
      <c r="AH66" s="36"/>
      <c r="AI66" s="36"/>
    </row>
    <row r="67" spans="1:35" s="25" customFormat="1" ht="12" x14ac:dyDescent="0.2">
      <c r="A67" s="177" t="str">
        <f t="shared" si="19"/>
        <v>&gt;= ACTC LEVEL 3 NAC - MIW</v>
      </c>
      <c r="B67" s="610">
        <f t="shared" si="20"/>
        <v>1</v>
      </c>
      <c r="C67" s="610">
        <f t="shared" si="20"/>
        <v>1</v>
      </c>
      <c r="D67" s="610">
        <f t="shared" si="20"/>
        <v>4</v>
      </c>
      <c r="E67" s="178">
        <f t="shared" si="21"/>
        <v>5</v>
      </c>
      <c r="F67" s="178">
        <f t="shared" si="21"/>
        <v>2</v>
      </c>
      <c r="G67" s="609"/>
      <c r="H67" s="609"/>
      <c r="I67" s="609"/>
      <c r="J67" s="609"/>
      <c r="K67" s="609"/>
      <c r="L67" s="285"/>
      <c r="M67" s="606"/>
      <c r="N67" s="310"/>
      <c r="O67" s="310"/>
      <c r="P67" s="114"/>
      <c r="R67" s="36"/>
      <c r="S67" s="36"/>
      <c r="T67" s="36"/>
      <c r="U67" s="36"/>
      <c r="V67" s="36"/>
      <c r="W67" s="36"/>
      <c r="X67" s="36"/>
      <c r="Y67" s="36"/>
      <c r="Z67" s="36"/>
      <c r="AA67" s="36"/>
      <c r="AB67" s="36"/>
      <c r="AC67" s="36"/>
      <c r="AD67" s="36"/>
      <c r="AE67" s="36"/>
      <c r="AF67" s="36"/>
      <c r="AG67" s="36"/>
      <c r="AH67" s="36"/>
      <c r="AI67" s="36"/>
    </row>
    <row r="68" spans="1:35" s="25" customFormat="1" ht="12" x14ac:dyDescent="0.2">
      <c r="A68" s="177" t="str">
        <f t="shared" si="19"/>
        <v>&gt;= ACTC LEVEL 3 NAC - MOB/LOG</v>
      </c>
      <c r="B68" s="610">
        <f t="shared" si="20"/>
        <v>1</v>
      </c>
      <c r="C68" s="610">
        <f t="shared" si="20"/>
        <v>1</v>
      </c>
      <c r="D68" s="610">
        <f t="shared" si="20"/>
        <v>4</v>
      </c>
      <c r="E68" s="178">
        <f t="shared" si="21"/>
        <v>5</v>
      </c>
      <c r="F68" s="178">
        <f t="shared" si="21"/>
        <v>2</v>
      </c>
      <c r="G68" s="609"/>
      <c r="H68" s="609"/>
      <c r="I68" s="609"/>
      <c r="J68" s="609"/>
      <c r="K68" s="609"/>
      <c r="L68" s="114"/>
      <c r="M68" s="606"/>
      <c r="N68" s="310"/>
      <c r="O68" s="310"/>
      <c r="P68" s="114"/>
      <c r="R68" s="36"/>
      <c r="S68" s="36"/>
      <c r="T68" s="36"/>
      <c r="U68" s="36"/>
      <c r="V68" s="36"/>
      <c r="W68" s="36"/>
      <c r="X68" s="36"/>
      <c r="Y68" s="36"/>
      <c r="Z68" s="36"/>
      <c r="AA68" s="36"/>
      <c r="AB68" s="36"/>
      <c r="AC68" s="36"/>
      <c r="AD68" s="36"/>
      <c r="AE68" s="36"/>
      <c r="AF68" s="36"/>
      <c r="AG68" s="36"/>
      <c r="AH68" s="36"/>
      <c r="AI68" s="36"/>
    </row>
    <row r="69" spans="1:35" s="25" customFormat="1" x14ac:dyDescent="0.2">
      <c r="A69" s="177" t="str">
        <f t="shared" si="19"/>
        <v>&gt;= ACTC LEVEL 2 PILOT</v>
      </c>
      <c r="B69" s="610">
        <f t="shared" si="20"/>
        <v>1</v>
      </c>
      <c r="C69" s="610">
        <f t="shared" si="20"/>
        <v>1</v>
      </c>
      <c r="D69" s="610">
        <f t="shared" si="20"/>
        <v>4</v>
      </c>
      <c r="E69" s="178">
        <f t="shared" si="21"/>
        <v>5</v>
      </c>
      <c r="F69" s="178">
        <f t="shared" si="21"/>
        <v>2</v>
      </c>
      <c r="G69" s="609"/>
      <c r="H69" s="609"/>
      <c r="I69" s="609"/>
      <c r="J69" s="609"/>
      <c r="K69" s="609"/>
      <c r="L69" s="114"/>
      <c r="M69" s="114"/>
      <c r="N69" s="310"/>
      <c r="O69" s="114"/>
      <c r="P69" s="105"/>
      <c r="R69" s="36"/>
      <c r="S69" s="36"/>
      <c r="T69" s="36"/>
      <c r="U69" s="36"/>
      <c r="V69" s="36"/>
      <c r="W69" s="36"/>
      <c r="X69" s="36"/>
      <c r="Y69" s="36"/>
      <c r="Z69" s="36"/>
      <c r="AA69" s="36"/>
      <c r="AB69" s="36"/>
      <c r="AC69" s="36"/>
      <c r="AD69" s="36"/>
      <c r="AE69" s="36"/>
      <c r="AF69" s="36"/>
      <c r="AG69" s="36"/>
      <c r="AH69" s="36"/>
      <c r="AI69" s="36"/>
    </row>
    <row r="70" spans="1:35" s="25" customFormat="1" x14ac:dyDescent="0.2">
      <c r="A70" s="177" t="str">
        <f t="shared" si="19"/>
        <v>&gt;= ACTC LEVEL 2 NAC</v>
      </c>
      <c r="B70" s="610">
        <f t="shared" si="20"/>
        <v>1</v>
      </c>
      <c r="C70" s="610">
        <f t="shared" si="20"/>
        <v>1</v>
      </c>
      <c r="D70" s="610">
        <f t="shared" si="20"/>
        <v>4</v>
      </c>
      <c r="E70" s="178">
        <f t="shared" si="21"/>
        <v>5</v>
      </c>
      <c r="F70" s="178">
        <f t="shared" si="21"/>
        <v>2</v>
      </c>
      <c r="G70" s="609"/>
      <c r="H70" s="609"/>
      <c r="I70" s="609"/>
      <c r="J70" s="609"/>
      <c r="K70" s="609"/>
      <c r="L70" s="285"/>
      <c r="M70" s="83"/>
      <c r="N70" s="83"/>
      <c r="O70" s="83"/>
      <c r="P70" s="105"/>
      <c r="R70" s="36"/>
      <c r="S70" s="36"/>
      <c r="T70" s="36"/>
      <c r="U70" s="36"/>
      <c r="V70" s="36"/>
      <c r="W70" s="36"/>
      <c r="X70" s="36"/>
      <c r="Y70" s="36"/>
      <c r="Z70" s="36"/>
      <c r="AA70" s="36"/>
      <c r="AB70" s="36"/>
      <c r="AC70" s="36"/>
      <c r="AD70" s="36"/>
      <c r="AE70" s="36"/>
      <c r="AF70" s="36"/>
      <c r="AG70" s="36"/>
      <c r="AH70" s="36"/>
      <c r="AI70" s="36"/>
    </row>
    <row r="71" spans="1:35" s="25" customFormat="1" x14ac:dyDescent="0.2">
      <c r="A71" s="177" t="str">
        <f t="shared" si="19"/>
        <v>&gt;= ACTC LEVEL 1 PILOT</v>
      </c>
      <c r="B71" s="610">
        <f t="shared" si="20"/>
        <v>1</v>
      </c>
      <c r="C71" s="610">
        <f t="shared" si="20"/>
        <v>3</v>
      </c>
      <c r="D71" s="610">
        <f t="shared" si="20"/>
        <v>10</v>
      </c>
      <c r="E71" s="178">
        <f t="shared" si="21"/>
        <v>12</v>
      </c>
      <c r="F71" s="178">
        <f t="shared" si="21"/>
        <v>5</v>
      </c>
      <c r="G71" s="609"/>
      <c r="H71" s="609"/>
      <c r="I71" s="609"/>
      <c r="J71" s="609"/>
      <c r="K71" s="609"/>
      <c r="L71" s="285"/>
      <c r="M71" s="83"/>
      <c r="N71" s="83"/>
      <c r="O71" s="83"/>
      <c r="P71" s="105"/>
      <c r="R71" s="36"/>
      <c r="S71" s="36"/>
      <c r="T71" s="36"/>
      <c r="U71" s="36"/>
      <c r="V71" s="36"/>
      <c r="W71" s="36"/>
      <c r="X71" s="36"/>
      <c r="Y71" s="36"/>
      <c r="Z71" s="36"/>
      <c r="AA71" s="36"/>
      <c r="AB71" s="36"/>
      <c r="AC71" s="36"/>
      <c r="AD71" s="36"/>
      <c r="AE71" s="36"/>
      <c r="AF71" s="36"/>
      <c r="AG71" s="36"/>
      <c r="AH71" s="36"/>
      <c r="AI71" s="36"/>
    </row>
    <row r="72" spans="1:35" s="25" customFormat="1" x14ac:dyDescent="0.2">
      <c r="A72" s="177" t="str">
        <f t="shared" si="19"/>
        <v>&gt;= ACTC LEVEL 1 NAC</v>
      </c>
      <c r="B72" s="610">
        <f t="shared" si="20"/>
        <v>2</v>
      </c>
      <c r="C72" s="610">
        <f t="shared" si="20"/>
        <v>5</v>
      </c>
      <c r="D72" s="610">
        <f t="shared" si="20"/>
        <v>20</v>
      </c>
      <c r="E72" s="178">
        <f t="shared" si="21"/>
        <v>25</v>
      </c>
      <c r="F72" s="178">
        <f t="shared" si="21"/>
        <v>10</v>
      </c>
      <c r="G72" s="609"/>
      <c r="H72" s="609"/>
      <c r="I72" s="609"/>
      <c r="J72" s="609"/>
      <c r="K72" s="609"/>
      <c r="L72" s="83"/>
      <c r="M72" s="83"/>
      <c r="N72" s="83"/>
      <c r="O72" s="83"/>
      <c r="P72" s="105"/>
      <c r="R72" s="36"/>
      <c r="S72" s="36"/>
      <c r="T72" s="36"/>
      <c r="U72" s="36"/>
      <c r="V72" s="36"/>
      <c r="W72" s="36"/>
      <c r="X72" s="36"/>
      <c r="Y72" s="36"/>
      <c r="Z72" s="36"/>
      <c r="AA72" s="36"/>
      <c r="AB72" s="36"/>
      <c r="AC72" s="36"/>
      <c r="AD72" s="36"/>
      <c r="AE72" s="36"/>
      <c r="AF72" s="36"/>
      <c r="AG72" s="36"/>
      <c r="AH72" s="36"/>
      <c r="AI72" s="36"/>
    </row>
    <row r="73" spans="1:35" s="25" customFormat="1" ht="12" x14ac:dyDescent="0.2">
      <c r="A73" s="177" t="str">
        <f t="shared" si="19"/>
        <v>Q24 Controller Qualified Crewmen</v>
      </c>
      <c r="B73" s="610">
        <f t="shared" si="20"/>
        <v>1</v>
      </c>
      <c r="C73" s="610">
        <f t="shared" si="20"/>
        <v>1</v>
      </c>
      <c r="D73" s="610">
        <f t="shared" si="20"/>
        <v>4</v>
      </c>
      <c r="E73" s="610">
        <f t="shared" ref="E73:F75" si="22">ROUNDUP(IF(E$13="DEPLOY",MAX((E$98/100)*$B116,$B116),(E$98/100)*$B116),0)</f>
        <v>5</v>
      </c>
      <c r="F73" s="610">
        <f t="shared" si="22"/>
        <v>2</v>
      </c>
      <c r="G73" s="609"/>
      <c r="H73" s="609"/>
      <c r="I73" s="609"/>
      <c r="J73" s="609"/>
      <c r="K73" s="609"/>
      <c r="L73" s="83"/>
      <c r="M73" s="83"/>
      <c r="N73" s="83"/>
      <c r="O73" s="83"/>
      <c r="P73" s="83"/>
      <c r="R73" s="36"/>
      <c r="S73" s="36"/>
      <c r="T73" s="36"/>
      <c r="U73" s="36"/>
      <c r="V73" s="36"/>
      <c r="W73" s="36"/>
      <c r="X73" s="36"/>
      <c r="Y73" s="36"/>
      <c r="Z73" s="36"/>
      <c r="AA73" s="36"/>
      <c r="AB73" s="36"/>
      <c r="AC73" s="36"/>
      <c r="AD73" s="36"/>
      <c r="AE73" s="36"/>
      <c r="AF73" s="36"/>
      <c r="AG73" s="36"/>
      <c r="AH73" s="36"/>
      <c r="AI73" s="36"/>
    </row>
    <row r="74" spans="1:35" s="25" customFormat="1" ht="12" x14ac:dyDescent="0.2">
      <c r="A74" s="177" t="str">
        <f t="shared" si="19"/>
        <v>AMNS Controller Qualified Crewmen</v>
      </c>
      <c r="B74" s="610">
        <f t="shared" si="20"/>
        <v>1</v>
      </c>
      <c r="C74" s="610">
        <f t="shared" si="20"/>
        <v>1</v>
      </c>
      <c r="D74" s="610">
        <f t="shared" si="20"/>
        <v>1</v>
      </c>
      <c r="E74" s="610">
        <f t="shared" si="22"/>
        <v>1</v>
      </c>
      <c r="F74" s="610">
        <f t="shared" si="22"/>
        <v>1</v>
      </c>
      <c r="G74" s="609"/>
      <c r="H74" s="609"/>
      <c r="I74" s="609"/>
      <c r="J74" s="609"/>
      <c r="K74" s="609"/>
      <c r="L74" s="83"/>
      <c r="M74" s="236"/>
      <c r="N74" s="236"/>
      <c r="O74" s="236"/>
      <c r="P74" s="83"/>
      <c r="R74" s="36"/>
      <c r="S74" s="36"/>
      <c r="T74" s="36"/>
      <c r="U74" s="36"/>
      <c r="V74" s="36"/>
      <c r="W74" s="36"/>
      <c r="X74" s="36"/>
      <c r="Y74" s="36"/>
      <c r="Z74" s="36"/>
      <c r="AA74" s="36"/>
      <c r="AB74" s="36"/>
      <c r="AC74" s="36"/>
      <c r="AD74" s="36"/>
      <c r="AE74" s="36"/>
      <c r="AF74" s="36"/>
      <c r="AG74" s="36"/>
      <c r="AH74" s="36"/>
      <c r="AI74" s="36"/>
    </row>
    <row r="75" spans="1:35" s="25" customFormat="1" ht="12" x14ac:dyDescent="0.2">
      <c r="A75" s="177" t="str">
        <f>A118</f>
        <v>Required Skilled Crews</v>
      </c>
      <c r="B75" s="610">
        <f t="shared" si="20"/>
        <v>1</v>
      </c>
      <c r="C75" s="610">
        <f t="shared" si="20"/>
        <v>1</v>
      </c>
      <c r="D75" s="610">
        <f t="shared" si="20"/>
        <v>4</v>
      </c>
      <c r="E75" s="610">
        <f t="shared" si="22"/>
        <v>4</v>
      </c>
      <c r="F75" s="610">
        <f t="shared" si="22"/>
        <v>2</v>
      </c>
      <c r="G75" s="609"/>
      <c r="H75" s="609"/>
      <c r="I75" s="609"/>
      <c r="J75" s="609"/>
      <c r="K75" s="609"/>
      <c r="L75" s="83"/>
      <c r="M75" s="236"/>
      <c r="N75" s="236"/>
      <c r="O75" s="236"/>
      <c r="P75" s="83"/>
      <c r="R75" s="36"/>
      <c r="S75" s="36"/>
      <c r="T75" s="36"/>
      <c r="U75" s="36"/>
      <c r="V75" s="36"/>
      <c r="W75" s="36"/>
      <c r="X75" s="36"/>
      <c r="Y75" s="36"/>
      <c r="Z75" s="36"/>
      <c r="AA75" s="36"/>
      <c r="AB75" s="36"/>
      <c r="AC75" s="36"/>
      <c r="AD75" s="36"/>
      <c r="AE75" s="36"/>
      <c r="AF75" s="36"/>
      <c r="AG75" s="36"/>
      <c r="AH75" s="36"/>
      <c r="AI75" s="36"/>
    </row>
    <row r="76" spans="1:35" s="25" customFormat="1" ht="12" x14ac:dyDescent="0.2">
      <c r="A76" s="181"/>
      <c r="B76" s="181"/>
      <c r="C76" s="181"/>
      <c r="D76" s="613"/>
      <c r="E76" s="181"/>
      <c r="F76" s="613"/>
      <c r="H76" s="609"/>
      <c r="I76" s="609"/>
      <c r="J76" s="609"/>
      <c r="K76" s="609"/>
      <c r="L76" s="236"/>
      <c r="M76" s="236"/>
      <c r="N76" s="236"/>
      <c r="O76" s="236"/>
      <c r="P76" s="83"/>
      <c r="R76" s="36"/>
      <c r="S76" s="36"/>
      <c r="T76" s="36"/>
      <c r="U76" s="36"/>
      <c r="V76" s="36"/>
      <c r="W76" s="36"/>
      <c r="X76" s="36"/>
      <c r="Y76" s="36"/>
      <c r="Z76" s="36"/>
      <c r="AA76" s="36"/>
      <c r="AB76" s="36"/>
      <c r="AC76" s="36"/>
      <c r="AD76" s="36"/>
      <c r="AE76" s="36"/>
      <c r="AF76" s="36"/>
      <c r="AG76" s="36"/>
      <c r="AH76" s="36"/>
      <c r="AI76" s="36"/>
    </row>
    <row r="77" spans="1:35" s="25" customFormat="1" ht="12" x14ac:dyDescent="0.2">
      <c r="B77" s="44"/>
      <c r="C77" s="36" t="s">
        <v>147</v>
      </c>
      <c r="D77" s="240"/>
      <c r="H77" s="609"/>
      <c r="I77" s="609"/>
      <c r="J77" s="609"/>
      <c r="K77" s="609"/>
      <c r="L77" s="236"/>
      <c r="M77" s="236"/>
      <c r="N77" s="236"/>
      <c r="O77" s="236"/>
      <c r="P77" s="83"/>
      <c r="R77" s="36"/>
      <c r="S77" s="36"/>
      <c r="T77" s="36"/>
      <c r="U77" s="36"/>
      <c r="V77" s="36"/>
      <c r="W77" s="36"/>
      <c r="X77" s="36"/>
      <c r="Y77" s="36"/>
      <c r="Z77" s="36"/>
      <c r="AA77" s="36"/>
      <c r="AB77" s="36"/>
      <c r="AC77" s="36"/>
      <c r="AD77" s="36"/>
      <c r="AE77" s="36"/>
      <c r="AF77" s="36"/>
      <c r="AG77" s="36"/>
      <c r="AH77" s="36"/>
      <c r="AI77" s="36"/>
    </row>
    <row r="78" spans="1:35" s="25" customFormat="1" ht="12" x14ac:dyDescent="0.2">
      <c r="B78" s="45"/>
      <c r="C78" s="36" t="s">
        <v>148</v>
      </c>
      <c r="D78" s="240"/>
      <c r="I78" s="613"/>
      <c r="J78" s="613"/>
      <c r="K78" s="613"/>
      <c r="L78" s="83"/>
      <c r="M78" s="236"/>
      <c r="N78" s="236"/>
      <c r="O78" s="236"/>
      <c r="P78" s="83"/>
      <c r="R78" s="36"/>
      <c r="S78" s="36"/>
      <c r="T78" s="36"/>
      <c r="U78" s="36"/>
      <c r="V78" s="36"/>
      <c r="W78" s="36"/>
      <c r="X78" s="36"/>
      <c r="Y78" s="36"/>
      <c r="Z78" s="36"/>
      <c r="AA78" s="36"/>
      <c r="AB78" s="36"/>
      <c r="AC78" s="36"/>
      <c r="AD78" s="36"/>
      <c r="AE78" s="36"/>
      <c r="AF78" s="36"/>
      <c r="AG78" s="36"/>
      <c r="AH78" s="36"/>
      <c r="AI78" s="36"/>
    </row>
    <row r="79" spans="1:35" s="25" customFormat="1" ht="12" x14ac:dyDescent="0.2">
      <c r="D79" s="240"/>
      <c r="I79" s="613"/>
      <c r="J79" s="613"/>
      <c r="K79" s="613"/>
      <c r="L79" s="236"/>
      <c r="M79" s="236"/>
      <c r="N79" s="236"/>
      <c r="O79" s="236"/>
      <c r="P79" s="83"/>
      <c r="R79" s="36"/>
      <c r="S79" s="36"/>
      <c r="T79" s="36"/>
      <c r="U79" s="36"/>
      <c r="V79" s="36"/>
      <c r="W79" s="36"/>
      <c r="X79" s="36"/>
      <c r="Y79" s="36"/>
      <c r="Z79" s="36"/>
      <c r="AA79" s="36"/>
      <c r="AB79" s="36"/>
      <c r="AC79" s="36"/>
      <c r="AD79" s="36"/>
      <c r="AE79" s="36"/>
      <c r="AF79" s="36"/>
      <c r="AG79" s="36"/>
      <c r="AH79" s="36"/>
      <c r="AI79" s="36"/>
    </row>
    <row r="80" spans="1:35" s="25" customFormat="1" ht="12" x14ac:dyDescent="0.2">
      <c r="A80" s="25" t="s">
        <v>204</v>
      </c>
      <c r="D80" s="240"/>
      <c r="I80" s="613"/>
      <c r="J80" s="613"/>
      <c r="K80" s="613"/>
      <c r="L80" s="236"/>
      <c r="M80" s="236"/>
      <c r="N80" s="236"/>
      <c r="O80" s="236"/>
      <c r="P80" s="236"/>
      <c r="R80" s="36"/>
      <c r="S80" s="36"/>
      <c r="T80" s="36"/>
      <c r="U80" s="36"/>
      <c r="V80" s="36"/>
      <c r="W80" s="36"/>
      <c r="X80" s="36"/>
      <c r="Y80" s="36"/>
      <c r="Z80" s="36"/>
      <c r="AA80" s="36"/>
      <c r="AB80" s="36"/>
      <c r="AC80" s="36"/>
      <c r="AD80" s="36"/>
      <c r="AE80" s="36"/>
      <c r="AF80" s="36"/>
      <c r="AG80" s="36"/>
      <c r="AH80" s="36"/>
      <c r="AI80" s="36"/>
    </row>
    <row r="81" spans="1:35" s="25" customFormat="1" ht="12" x14ac:dyDescent="0.2">
      <c r="A81" s="25" t="s">
        <v>205</v>
      </c>
      <c r="D81" s="240"/>
      <c r="I81" s="613"/>
      <c r="J81" s="613"/>
      <c r="K81" s="613"/>
      <c r="L81" s="236"/>
      <c r="M81" s="83"/>
      <c r="N81" s="83"/>
      <c r="O81" s="83"/>
      <c r="P81" s="236"/>
      <c r="R81" s="36"/>
      <c r="S81" s="36"/>
      <c r="T81" s="36"/>
      <c r="U81" s="36"/>
      <c r="V81" s="36"/>
      <c r="W81" s="36"/>
      <c r="X81" s="36"/>
      <c r="Y81" s="36"/>
      <c r="Z81" s="36"/>
      <c r="AA81" s="36"/>
      <c r="AB81" s="36"/>
      <c r="AC81" s="36"/>
      <c r="AD81" s="36"/>
      <c r="AE81" s="36"/>
      <c r="AF81" s="36"/>
      <c r="AG81" s="36"/>
      <c r="AH81" s="36"/>
      <c r="AI81" s="36"/>
    </row>
    <row r="82" spans="1:35" s="25" customFormat="1" ht="12" x14ac:dyDescent="0.2">
      <c r="A82" s="25" t="s">
        <v>206</v>
      </c>
      <c r="D82" s="240"/>
      <c r="E82" s="36"/>
      <c r="F82" s="36"/>
      <c r="I82" s="613"/>
      <c r="J82" s="613"/>
      <c r="K82" s="613"/>
      <c r="L82" s="236"/>
      <c r="M82" s="83"/>
      <c r="N82" s="83"/>
      <c r="O82" s="83"/>
      <c r="P82" s="236"/>
      <c r="R82" s="36"/>
      <c r="S82" s="36"/>
      <c r="T82" s="36"/>
      <c r="U82" s="36"/>
      <c r="V82" s="36"/>
      <c r="W82" s="36"/>
      <c r="X82" s="36"/>
      <c r="Y82" s="36"/>
      <c r="Z82" s="36"/>
      <c r="AA82" s="36"/>
      <c r="AB82" s="36"/>
      <c r="AC82" s="36"/>
      <c r="AD82" s="36"/>
      <c r="AE82" s="36"/>
      <c r="AF82" s="36"/>
      <c r="AG82" s="36"/>
      <c r="AH82" s="36"/>
      <c r="AI82" s="36"/>
    </row>
    <row r="83" spans="1:35" s="25" customFormat="1" x14ac:dyDescent="0.2">
      <c r="A83" s="25" t="s">
        <v>207</v>
      </c>
      <c r="D83" s="240"/>
      <c r="E83" s="36"/>
      <c r="F83" s="36"/>
      <c r="I83" s="613"/>
      <c r="J83" s="613"/>
      <c r="K83" s="613"/>
      <c r="L83" s="83"/>
      <c r="M83" s="301"/>
      <c r="N83" s="301"/>
      <c r="O83" s="301"/>
      <c r="P83" s="236"/>
      <c r="R83" s="36"/>
      <c r="S83" s="36"/>
      <c r="T83" s="36"/>
      <c r="U83" s="36"/>
      <c r="V83" s="36"/>
      <c r="W83" s="36"/>
      <c r="X83" s="36"/>
      <c r="Y83" s="36"/>
      <c r="Z83" s="36"/>
      <c r="AA83" s="36"/>
      <c r="AB83" s="36"/>
      <c r="AC83" s="36"/>
      <c r="AD83" s="36"/>
      <c r="AE83" s="36"/>
      <c r="AF83" s="36"/>
      <c r="AG83" s="36"/>
      <c r="AH83" s="36"/>
      <c r="AI83" s="36"/>
    </row>
    <row r="84" spans="1:35" s="25" customFormat="1" x14ac:dyDescent="0.2">
      <c r="A84" s="25" t="s">
        <v>208</v>
      </c>
      <c r="D84" s="240"/>
      <c r="E84" s="36"/>
      <c r="F84" s="36"/>
      <c r="I84" s="613"/>
      <c r="J84" s="613"/>
      <c r="K84" s="613"/>
      <c r="L84" s="83"/>
      <c r="M84" s="301"/>
      <c r="N84" s="301"/>
      <c r="O84" s="301"/>
      <c r="P84" s="83"/>
      <c r="R84" s="36"/>
      <c r="S84" s="36"/>
      <c r="T84" s="36"/>
      <c r="U84" s="36"/>
      <c r="V84" s="36"/>
      <c r="W84" s="36"/>
      <c r="X84" s="36"/>
      <c r="Y84" s="36"/>
      <c r="Z84" s="36"/>
      <c r="AA84" s="36"/>
      <c r="AB84" s="36"/>
      <c r="AC84" s="36"/>
      <c r="AD84" s="36"/>
      <c r="AE84" s="36"/>
      <c r="AF84" s="36"/>
      <c r="AG84" s="36"/>
      <c r="AH84" s="36"/>
      <c r="AI84" s="36"/>
    </row>
    <row r="85" spans="1:35" s="25" customFormat="1" x14ac:dyDescent="0.2">
      <c r="A85" s="25" t="s">
        <v>209</v>
      </c>
      <c r="D85" s="240"/>
      <c r="I85" s="613"/>
      <c r="J85" s="613"/>
      <c r="K85" s="613"/>
      <c r="L85" s="301"/>
      <c r="M85" s="301"/>
      <c r="N85" s="301"/>
      <c r="O85" s="301"/>
      <c r="P85" s="83"/>
      <c r="R85" s="36"/>
      <c r="S85" s="36"/>
      <c r="T85" s="36"/>
      <c r="U85" s="36"/>
      <c r="V85" s="36"/>
      <c r="W85" s="36"/>
      <c r="X85" s="36"/>
      <c r="Y85" s="36"/>
      <c r="Z85" s="36"/>
      <c r="AA85" s="36"/>
      <c r="AB85" s="36"/>
      <c r="AC85" s="36"/>
      <c r="AD85" s="36"/>
      <c r="AE85" s="36"/>
      <c r="AF85" s="36"/>
      <c r="AG85" s="36"/>
      <c r="AH85" s="36"/>
      <c r="AI85" s="36"/>
    </row>
    <row r="86" spans="1:35" s="25" customFormat="1" x14ac:dyDescent="0.2">
      <c r="A86" s="25" t="s">
        <v>210</v>
      </c>
      <c r="D86" s="240"/>
      <c r="G86" s="181"/>
      <c r="I86" s="613"/>
      <c r="J86" s="613"/>
      <c r="K86" s="613"/>
      <c r="L86" s="301"/>
      <c r="M86" s="301"/>
      <c r="N86" s="301"/>
      <c r="O86" s="301"/>
      <c r="P86" s="301"/>
      <c r="R86" s="36"/>
      <c r="S86" s="36"/>
      <c r="T86" s="36"/>
      <c r="U86" s="36"/>
      <c r="V86" s="36"/>
      <c r="W86" s="36"/>
      <c r="X86" s="36"/>
      <c r="Y86" s="36"/>
      <c r="Z86" s="36"/>
      <c r="AA86" s="36"/>
      <c r="AB86" s="36"/>
      <c r="AC86" s="36"/>
      <c r="AD86" s="36"/>
      <c r="AE86" s="36"/>
      <c r="AF86" s="36"/>
      <c r="AG86" s="36"/>
      <c r="AH86" s="36"/>
      <c r="AI86" s="36"/>
    </row>
    <row r="87" spans="1:35" s="25" customFormat="1" x14ac:dyDescent="0.2">
      <c r="A87" s="25" t="s">
        <v>211</v>
      </c>
      <c r="D87" s="240"/>
      <c r="G87" s="614"/>
      <c r="I87" s="613"/>
      <c r="J87" s="613"/>
      <c r="K87" s="613"/>
      <c r="L87" s="301"/>
      <c r="M87" s="83"/>
      <c r="N87" s="83"/>
      <c r="O87" s="83"/>
      <c r="P87" s="301"/>
      <c r="R87" s="36"/>
      <c r="S87" s="36"/>
      <c r="T87" s="36"/>
      <c r="U87" s="36"/>
      <c r="V87" s="36"/>
      <c r="W87" s="36"/>
      <c r="X87" s="36"/>
      <c r="Y87" s="36"/>
      <c r="Z87" s="36"/>
      <c r="AA87" s="36"/>
      <c r="AB87" s="36"/>
      <c r="AC87" s="36"/>
      <c r="AD87" s="36"/>
      <c r="AE87" s="36"/>
      <c r="AF87" s="36"/>
      <c r="AG87" s="36"/>
      <c r="AH87" s="36"/>
      <c r="AI87" s="36"/>
    </row>
    <row r="88" spans="1:35" s="25" customFormat="1" x14ac:dyDescent="0.2">
      <c r="A88" s="25" t="s">
        <v>212</v>
      </c>
      <c r="D88" s="240"/>
      <c r="G88" s="614"/>
      <c r="H88" s="181"/>
      <c r="I88" s="613"/>
      <c r="J88" s="613"/>
      <c r="K88" s="613"/>
      <c r="L88" s="301"/>
      <c r="M88" s="289"/>
      <c r="N88" s="289"/>
      <c r="O88" s="289"/>
      <c r="P88" s="301"/>
      <c r="R88" s="36"/>
      <c r="S88" s="36"/>
      <c r="T88" s="36"/>
      <c r="U88" s="36"/>
      <c r="V88" s="36"/>
      <c r="W88" s="36"/>
      <c r="X88" s="36"/>
      <c r="Y88" s="36"/>
      <c r="Z88" s="36"/>
      <c r="AA88" s="36"/>
      <c r="AB88" s="36"/>
      <c r="AC88" s="36"/>
      <c r="AD88" s="36"/>
      <c r="AE88" s="36"/>
      <c r="AF88" s="36"/>
      <c r="AG88" s="36"/>
      <c r="AH88" s="36"/>
      <c r="AI88" s="36"/>
    </row>
    <row r="89" spans="1:35" s="25" customFormat="1" x14ac:dyDescent="0.2">
      <c r="A89" s="261" t="s">
        <v>213</v>
      </c>
      <c r="B89" s="261"/>
      <c r="C89" s="261"/>
      <c r="D89" s="240"/>
      <c r="G89" s="615"/>
      <c r="H89" s="614"/>
      <c r="I89" s="181"/>
      <c r="J89" s="181"/>
      <c r="K89" s="181"/>
      <c r="L89" s="83"/>
      <c r="M89" s="83"/>
      <c r="N89" s="83"/>
      <c r="O89" s="83"/>
      <c r="P89" s="301"/>
      <c r="R89" s="36"/>
      <c r="S89" s="36"/>
      <c r="T89" s="36"/>
      <c r="U89" s="36"/>
      <c r="V89" s="36"/>
      <c r="W89" s="36"/>
      <c r="X89" s="36"/>
      <c r="Y89" s="36"/>
      <c r="Z89" s="36"/>
      <c r="AA89" s="36"/>
      <c r="AB89" s="36"/>
      <c r="AC89" s="36"/>
      <c r="AD89" s="36"/>
      <c r="AE89" s="36"/>
      <c r="AF89" s="36"/>
      <c r="AG89" s="36"/>
      <c r="AH89" s="36"/>
      <c r="AI89" s="36"/>
    </row>
    <row r="90" spans="1:35" s="25" customFormat="1" ht="12" x14ac:dyDescent="0.2">
      <c r="A90" s="25" t="s">
        <v>214</v>
      </c>
      <c r="D90" s="240"/>
      <c r="G90" s="615"/>
      <c r="H90" s="614"/>
      <c r="I90" s="614"/>
      <c r="J90" s="614"/>
      <c r="K90" s="614"/>
      <c r="L90" s="289"/>
      <c r="M90" s="83"/>
      <c r="N90" s="83"/>
      <c r="O90" s="83"/>
      <c r="P90" s="83"/>
      <c r="R90" s="36"/>
      <c r="S90" s="36"/>
      <c r="T90" s="36"/>
      <c r="U90" s="36"/>
      <c r="V90" s="36"/>
      <c r="W90" s="36"/>
      <c r="X90" s="36"/>
      <c r="Y90" s="36"/>
      <c r="Z90" s="36"/>
      <c r="AA90" s="36"/>
      <c r="AB90" s="36"/>
      <c r="AC90" s="36"/>
      <c r="AD90" s="36"/>
      <c r="AE90" s="36"/>
      <c r="AF90" s="36"/>
      <c r="AG90" s="36"/>
      <c r="AH90" s="36"/>
      <c r="AI90" s="36"/>
    </row>
    <row r="91" spans="1:35" s="25" customFormat="1" thickBot="1" x14ac:dyDescent="0.25">
      <c r="A91" s="614"/>
      <c r="B91" s="614"/>
      <c r="C91" s="614"/>
      <c r="D91" s="616"/>
      <c r="E91" s="614"/>
      <c r="G91" s="615"/>
      <c r="H91" s="615"/>
      <c r="I91" s="614"/>
      <c r="J91" s="614"/>
      <c r="K91" s="614"/>
      <c r="L91" s="83"/>
      <c r="M91" s="83"/>
      <c r="N91" s="83"/>
      <c r="O91" s="83"/>
      <c r="P91" s="289"/>
      <c r="R91" s="36"/>
      <c r="S91" s="36"/>
      <c r="T91" s="36"/>
      <c r="U91" s="36"/>
      <c r="V91" s="36"/>
      <c r="W91" s="36"/>
      <c r="X91" s="36"/>
      <c r="Y91" s="36"/>
      <c r="Z91" s="36"/>
      <c r="AA91" s="36"/>
      <c r="AB91" s="36"/>
      <c r="AC91" s="36"/>
      <c r="AD91" s="36"/>
      <c r="AE91" s="36"/>
      <c r="AF91" s="36"/>
      <c r="AG91" s="36"/>
      <c r="AH91" s="36"/>
      <c r="AI91" s="36"/>
    </row>
    <row r="92" spans="1:35" s="25" customFormat="1" thickBot="1" x14ac:dyDescent="0.25">
      <c r="A92" s="687" t="s">
        <v>152</v>
      </c>
      <c r="B92" s="688"/>
      <c r="C92" s="688"/>
      <c r="D92" s="688"/>
      <c r="E92" s="688"/>
      <c r="F92" s="689"/>
      <c r="G92" s="615"/>
      <c r="H92" s="615"/>
      <c r="I92" s="614"/>
      <c r="J92" s="614"/>
      <c r="K92" s="614"/>
      <c r="L92" s="83"/>
      <c r="M92" s="83"/>
      <c r="N92" s="83"/>
      <c r="O92" s="83"/>
      <c r="P92" s="83"/>
      <c r="R92" s="36"/>
      <c r="S92" s="36"/>
      <c r="T92" s="36"/>
      <c r="U92" s="36"/>
      <c r="V92" s="36"/>
      <c r="W92" s="36"/>
      <c r="X92" s="36"/>
      <c r="Y92" s="36"/>
      <c r="Z92" s="36"/>
      <c r="AA92" s="36"/>
      <c r="AB92" s="36"/>
      <c r="AC92" s="36"/>
      <c r="AD92" s="36"/>
      <c r="AE92" s="36"/>
      <c r="AF92" s="36"/>
      <c r="AG92" s="36"/>
      <c r="AH92" s="36"/>
      <c r="AI92" s="36"/>
    </row>
    <row r="93" spans="1:35" s="25" customFormat="1" ht="12" x14ac:dyDescent="0.2">
      <c r="A93" s="617" t="s">
        <v>153</v>
      </c>
      <c r="B93" s="618">
        <f>MIN(100,B95+$B$99)</f>
        <v>26.5</v>
      </c>
      <c r="C93" s="618">
        <f>MIN(100,C95+$D$99)</f>
        <v>20</v>
      </c>
      <c r="D93" s="618">
        <f>MIN(100,D95+$D$99)</f>
        <v>80</v>
      </c>
      <c r="E93" s="619">
        <f t="shared" ref="E93" si="23">MIN(100,E95+$E$64)</f>
        <v>100</v>
      </c>
      <c r="F93" s="71">
        <f>MIN(100,F95+$B$114)</f>
        <v>49</v>
      </c>
      <c r="G93" s="615"/>
      <c r="H93" s="615"/>
      <c r="I93" s="614"/>
      <c r="J93" s="614"/>
      <c r="K93" s="614"/>
      <c r="L93" s="83"/>
      <c r="M93" s="83"/>
      <c r="N93" s="83"/>
      <c r="O93" s="83"/>
      <c r="P93" s="83"/>
      <c r="R93" s="36"/>
      <c r="S93" s="36"/>
      <c r="T93" s="36"/>
      <c r="U93" s="36"/>
      <c r="V93" s="36"/>
      <c r="W93" s="36"/>
      <c r="X93" s="36"/>
      <c r="Y93" s="36"/>
      <c r="Z93" s="36"/>
      <c r="AA93" s="36"/>
      <c r="AB93" s="36"/>
      <c r="AC93" s="36"/>
      <c r="AD93" s="36"/>
      <c r="AE93" s="36"/>
      <c r="AF93" s="36"/>
      <c r="AG93" s="36"/>
      <c r="AH93" s="36"/>
      <c r="AI93" s="36"/>
    </row>
    <row r="94" spans="1:35" s="25" customFormat="1" ht="12" x14ac:dyDescent="0.2">
      <c r="A94" s="187" t="s">
        <v>154</v>
      </c>
      <c r="B94" s="620">
        <f>MIN(100,B95+$B$100)</f>
        <v>20</v>
      </c>
      <c r="C94" s="620">
        <f>MIN(100,C95+$D$100)</f>
        <v>20</v>
      </c>
      <c r="D94" s="620">
        <f>MIN(100,D95+$D$100)</f>
        <v>80</v>
      </c>
      <c r="E94" s="188">
        <f>MIN(100,E95+$E$65)</f>
        <v>100</v>
      </c>
      <c r="F94" s="72">
        <f>MIN(100,F95+$B$115)</f>
        <v>62</v>
      </c>
      <c r="G94" s="615"/>
      <c r="H94" s="615"/>
      <c r="I94" s="614"/>
      <c r="J94" s="614"/>
      <c r="K94" s="614"/>
      <c r="L94" s="83"/>
      <c r="M94" s="83"/>
      <c r="N94" s="83"/>
      <c r="O94" s="83"/>
      <c r="P94" s="83"/>
      <c r="R94" s="36"/>
      <c r="S94" s="36"/>
      <c r="T94" s="36"/>
      <c r="U94" s="36"/>
      <c r="V94" s="36"/>
      <c r="W94" s="36"/>
      <c r="X94" s="36"/>
      <c r="Y94" s="36"/>
      <c r="Z94" s="36"/>
      <c r="AA94" s="36"/>
      <c r="AB94" s="36"/>
      <c r="AC94" s="36"/>
      <c r="AD94" s="36"/>
      <c r="AE94" s="36"/>
      <c r="AF94" s="36"/>
      <c r="AG94" s="36"/>
      <c r="AH94" s="36"/>
      <c r="AI94" s="36"/>
    </row>
    <row r="95" spans="1:35" s="25" customFormat="1" ht="12" x14ac:dyDescent="0.2">
      <c r="A95" s="187" t="s">
        <v>155</v>
      </c>
      <c r="B95" s="621">
        <v>5</v>
      </c>
      <c r="C95" s="621">
        <v>20</v>
      </c>
      <c r="D95" s="621">
        <v>80</v>
      </c>
      <c r="E95" s="189">
        <v>100</v>
      </c>
      <c r="F95" s="73">
        <v>37</v>
      </c>
      <c r="G95" s="615"/>
      <c r="H95" s="615"/>
      <c r="I95" s="625"/>
      <c r="J95" s="625"/>
      <c r="K95" s="625"/>
      <c r="L95" s="83"/>
      <c r="M95" s="83"/>
      <c r="N95" s="83"/>
      <c r="O95" s="83"/>
      <c r="P95" s="83"/>
      <c r="R95" s="36"/>
      <c r="S95" s="36"/>
      <c r="T95" s="36"/>
      <c r="U95" s="36"/>
      <c r="V95" s="36"/>
      <c r="W95" s="36"/>
      <c r="X95" s="36"/>
      <c r="Y95" s="36"/>
      <c r="Z95" s="36"/>
      <c r="AA95" s="36"/>
      <c r="AB95" s="36"/>
      <c r="AC95" s="36"/>
      <c r="AD95" s="36"/>
      <c r="AE95" s="36"/>
      <c r="AF95" s="36"/>
      <c r="AG95" s="36"/>
      <c r="AH95" s="36"/>
      <c r="AI95" s="36"/>
    </row>
    <row r="96" spans="1:35" s="25" customFormat="1" ht="12" x14ac:dyDescent="0.2">
      <c r="A96" s="187" t="s">
        <v>156</v>
      </c>
      <c r="B96" s="188">
        <f>MIN(80,IF(B13="DEPLOY",80,MAX(0,B95-$B$100)))</f>
        <v>0</v>
      </c>
      <c r="C96" s="188">
        <f>MIN(80,IF(C13="DEPLOY",80,MAX(0,C95-$B$100)))</f>
        <v>5</v>
      </c>
      <c r="D96" s="188">
        <f>MIN(80,IF(D13="DEPLOY",80,MAX(0,D95-$B$100)))</f>
        <v>65</v>
      </c>
      <c r="E96" s="325">
        <f>MIN(80,IF(G13="Deploy",80,MAX(0,E95-$B$100)))</f>
        <v>80</v>
      </c>
      <c r="F96" s="72">
        <f>MIN(80,IF(H13="Deploy",80,MAX(0,F95-$B$100)))</f>
        <v>22</v>
      </c>
      <c r="G96" s="622"/>
      <c r="H96" s="615"/>
      <c r="I96" s="624"/>
      <c r="J96" s="624"/>
      <c r="K96" s="624"/>
      <c r="L96" s="83"/>
      <c r="M96" s="83"/>
      <c r="N96" s="83"/>
      <c r="O96" s="83"/>
      <c r="P96" s="83"/>
      <c r="R96" s="36"/>
      <c r="S96" s="36"/>
      <c r="T96" s="36"/>
      <c r="U96" s="36"/>
      <c r="V96" s="36"/>
      <c r="W96" s="36"/>
      <c r="X96" s="36"/>
      <c r="Y96" s="36"/>
      <c r="Z96" s="36"/>
      <c r="AA96" s="36"/>
      <c r="AB96" s="36"/>
      <c r="AC96" s="36"/>
      <c r="AD96" s="36"/>
      <c r="AE96" s="36"/>
      <c r="AF96" s="36"/>
      <c r="AG96" s="36"/>
      <c r="AH96" s="36"/>
      <c r="AI96" s="36"/>
    </row>
    <row r="97" spans="1:35" s="25" customFormat="1" thickBot="1" x14ac:dyDescent="0.25">
      <c r="A97" s="623" t="s">
        <v>157</v>
      </c>
      <c r="B97" s="192">
        <f>MIN(60,IF(B13="DEPLOY",60,MAX(0,B95-B99&amp;101)))</f>
        <v>0</v>
      </c>
      <c r="C97" s="192">
        <f>MIN(60,IF(C13="DEPLOY",60,MAX(0,C95-B99&amp;101)))</f>
        <v>0</v>
      </c>
      <c r="D97" s="192">
        <f>MIN(60,IF(D13="DEPLOY",60,MAX(0,D95-B99&amp;101)))</f>
        <v>58.510100000000001</v>
      </c>
      <c r="E97" s="327">
        <f>MIN(60,IF(G13="Deploy",60,MAX(0,E95-$B$99)))</f>
        <v>60</v>
      </c>
      <c r="F97" s="141">
        <f>MIN(60,IF(H13="Deploy",60,MAX(0,F95-$B$99)))</f>
        <v>15.5</v>
      </c>
      <c r="G97" s="624"/>
      <c r="H97" s="615"/>
      <c r="I97" s="624"/>
      <c r="J97" s="624"/>
      <c r="K97" s="624"/>
      <c r="L97" s="83"/>
      <c r="M97" s="83"/>
      <c r="N97" s="83"/>
      <c r="O97" s="83"/>
      <c r="P97" s="83"/>
      <c r="R97" s="36"/>
      <c r="S97" s="36"/>
      <c r="T97" s="36"/>
      <c r="U97" s="36"/>
      <c r="V97" s="36"/>
      <c r="W97" s="36"/>
      <c r="X97" s="36"/>
      <c r="Y97" s="36"/>
      <c r="Z97" s="36"/>
      <c r="AA97" s="36"/>
      <c r="AB97" s="36"/>
      <c r="AC97" s="36"/>
      <c r="AD97" s="36"/>
      <c r="AE97" s="36"/>
      <c r="AF97" s="36"/>
      <c r="AG97" s="36"/>
      <c r="AH97" s="36"/>
      <c r="AI97" s="36"/>
    </row>
    <row r="98" spans="1:35" s="25" customFormat="1" thickBot="1" x14ac:dyDescent="0.25">
      <c r="A98" s="326" t="s">
        <v>158</v>
      </c>
      <c r="B98" s="138">
        <v>5</v>
      </c>
      <c r="C98" s="243">
        <v>20</v>
      </c>
      <c r="D98" s="243">
        <v>80</v>
      </c>
      <c r="E98" s="138">
        <v>100</v>
      </c>
      <c r="F98" s="139">
        <v>37</v>
      </c>
      <c r="G98" s="624"/>
      <c r="H98" s="622"/>
      <c r="I98" s="624"/>
      <c r="J98" s="624"/>
      <c r="K98" s="624"/>
      <c r="L98" s="83"/>
      <c r="M98" s="289"/>
      <c r="N98" s="289"/>
      <c r="O98" s="289"/>
      <c r="P98" s="83"/>
      <c r="R98" s="36"/>
      <c r="S98" s="36"/>
      <c r="T98" s="36"/>
      <c r="U98" s="36"/>
      <c r="V98" s="36"/>
      <c r="W98" s="36"/>
      <c r="X98" s="36"/>
      <c r="Y98" s="36"/>
      <c r="Z98" s="36"/>
      <c r="AA98" s="36"/>
      <c r="AB98" s="36"/>
      <c r="AC98" s="36"/>
      <c r="AD98" s="36"/>
      <c r="AE98" s="36"/>
      <c r="AF98" s="36"/>
      <c r="AG98" s="36"/>
      <c r="AH98" s="36"/>
      <c r="AI98" s="36"/>
    </row>
    <row r="99" spans="1:35" s="25" customFormat="1" ht="12" x14ac:dyDescent="0.2">
      <c r="A99" s="626" t="s">
        <v>159</v>
      </c>
      <c r="B99" s="627">
        <v>21.5</v>
      </c>
      <c r="C99" s="628"/>
      <c r="D99" s="629"/>
      <c r="F99" s="624"/>
      <c r="G99" s="181"/>
      <c r="H99" s="624"/>
      <c r="I99" s="622"/>
      <c r="J99" s="622"/>
      <c r="K99" s="622"/>
      <c r="L99" s="83"/>
      <c r="M99" s="289"/>
      <c r="N99" s="289"/>
      <c r="O99" s="289"/>
      <c r="P99" s="83"/>
      <c r="R99" s="36"/>
      <c r="S99" s="36"/>
      <c r="T99" s="36"/>
      <c r="U99" s="36"/>
      <c r="V99" s="36"/>
      <c r="W99" s="36"/>
      <c r="X99" s="36"/>
      <c r="Y99" s="36"/>
      <c r="Z99" s="36"/>
      <c r="AA99" s="36"/>
      <c r="AB99" s="36"/>
      <c r="AC99" s="36"/>
      <c r="AD99" s="36"/>
      <c r="AE99" s="36"/>
      <c r="AF99" s="36"/>
      <c r="AG99" s="36"/>
      <c r="AH99" s="36"/>
      <c r="AI99" s="36"/>
    </row>
    <row r="100" spans="1:35" s="25" customFormat="1" thickBot="1" x14ac:dyDescent="0.25">
      <c r="A100" s="196" t="s">
        <v>160</v>
      </c>
      <c r="B100" s="197">
        <v>15</v>
      </c>
      <c r="C100" s="628"/>
      <c r="D100" s="629"/>
      <c r="F100" s="181"/>
      <c r="G100" s="181"/>
      <c r="H100" s="624"/>
      <c r="I100" s="624"/>
      <c r="J100" s="624"/>
      <c r="K100" s="624"/>
      <c r="L100" s="289"/>
      <c r="M100" s="83"/>
      <c r="N100" s="83"/>
      <c r="O100" s="83"/>
      <c r="P100" s="83"/>
      <c r="R100" s="36"/>
      <c r="S100" s="36"/>
      <c r="T100" s="36"/>
      <c r="U100" s="36"/>
      <c r="V100" s="36"/>
      <c r="W100" s="36"/>
      <c r="X100" s="36"/>
      <c r="Y100" s="36"/>
      <c r="Z100" s="36"/>
      <c r="AA100" s="36"/>
      <c r="AB100" s="36"/>
      <c r="AC100" s="36"/>
      <c r="AD100" s="36"/>
      <c r="AE100" s="36"/>
      <c r="AF100" s="36"/>
      <c r="AG100" s="36"/>
      <c r="AH100" s="36"/>
      <c r="AI100" s="36"/>
    </row>
    <row r="101" spans="1:35" s="25" customFormat="1" thickBot="1" x14ac:dyDescent="0.25">
      <c r="A101" s="181"/>
      <c r="B101" s="181"/>
      <c r="C101" s="181"/>
      <c r="D101" s="613"/>
      <c r="E101" s="181"/>
      <c r="F101" s="181"/>
      <c r="G101" s="181"/>
      <c r="H101" s="181"/>
      <c r="I101" s="624"/>
      <c r="J101" s="624"/>
      <c r="K101" s="624"/>
      <c r="L101" s="289"/>
      <c r="M101" s="83"/>
      <c r="N101" s="83"/>
      <c r="O101" s="83"/>
      <c r="P101" s="289"/>
      <c r="R101" s="36"/>
      <c r="S101" s="36"/>
      <c r="T101" s="36"/>
      <c r="U101" s="36"/>
      <c r="V101" s="36"/>
      <c r="W101" s="36"/>
      <c r="X101" s="36"/>
      <c r="Y101" s="36"/>
      <c r="Z101" s="36"/>
      <c r="AA101" s="36"/>
      <c r="AB101" s="36"/>
      <c r="AC101" s="36"/>
      <c r="AD101" s="36"/>
      <c r="AE101" s="36"/>
      <c r="AF101" s="36"/>
      <c r="AG101" s="36"/>
      <c r="AH101" s="36"/>
      <c r="AI101" s="36"/>
    </row>
    <row r="102" spans="1:35" s="25" customFormat="1" thickBot="1" x14ac:dyDescent="0.25">
      <c r="A102" s="630" t="s">
        <v>161</v>
      </c>
      <c r="B102" s="631"/>
      <c r="C102" s="632"/>
      <c r="D102" s="632"/>
      <c r="E102" s="632"/>
      <c r="F102" s="181"/>
      <c r="G102" s="181"/>
      <c r="H102" s="181"/>
      <c r="I102" s="181"/>
      <c r="J102" s="181"/>
      <c r="K102" s="181"/>
      <c r="L102" s="83"/>
      <c r="M102" s="83"/>
      <c r="N102" s="83"/>
      <c r="O102" s="83"/>
      <c r="P102" s="289"/>
      <c r="R102" s="36"/>
      <c r="S102" s="36"/>
      <c r="T102" s="36"/>
      <c r="U102" s="36"/>
      <c r="V102" s="36"/>
      <c r="W102" s="36"/>
      <c r="X102" s="36"/>
      <c r="Y102" s="36"/>
      <c r="Z102" s="36"/>
      <c r="AA102" s="36"/>
      <c r="AB102" s="36"/>
      <c r="AC102" s="36"/>
      <c r="AD102" s="36"/>
      <c r="AE102" s="36"/>
      <c r="AF102" s="36"/>
      <c r="AG102" s="36"/>
      <c r="AH102" s="36"/>
      <c r="AI102" s="36"/>
    </row>
    <row r="103" spans="1:35" s="25" customFormat="1" thickBot="1" x14ac:dyDescent="0.25">
      <c r="A103" s="630" t="s">
        <v>162</v>
      </c>
      <c r="B103" s="631"/>
      <c r="C103" s="614" t="s">
        <v>216</v>
      </c>
      <c r="D103" s="632"/>
      <c r="E103" s="632"/>
      <c r="F103" s="181"/>
      <c r="G103" s="181"/>
      <c r="H103" s="181"/>
      <c r="I103" s="181"/>
      <c r="J103" s="181"/>
      <c r="K103" s="181"/>
      <c r="L103" s="83"/>
      <c r="M103" s="83"/>
      <c r="N103" s="83"/>
      <c r="O103" s="83"/>
      <c r="P103" s="83"/>
      <c r="R103" s="36"/>
      <c r="S103" s="36"/>
      <c r="T103" s="36"/>
      <c r="U103" s="36"/>
      <c r="V103" s="36"/>
      <c r="W103" s="36"/>
      <c r="X103" s="36"/>
      <c r="Y103" s="36"/>
      <c r="Z103" s="36"/>
      <c r="AA103" s="36"/>
      <c r="AB103" s="36"/>
      <c r="AC103" s="36"/>
      <c r="AD103" s="36"/>
      <c r="AE103" s="36"/>
      <c r="AF103" s="36"/>
      <c r="AG103" s="36"/>
      <c r="AH103" s="36"/>
      <c r="AI103" s="36"/>
    </row>
    <row r="104" spans="1:35" s="25" customFormat="1" ht="13.5" customHeight="1" x14ac:dyDescent="0.2">
      <c r="A104" s="633" t="s">
        <v>164</v>
      </c>
      <c r="B104" s="634">
        <v>12</v>
      </c>
      <c r="C104" s="181"/>
      <c r="F104" s="181"/>
      <c r="H104" s="181"/>
      <c r="I104" s="181"/>
      <c r="J104" s="181"/>
      <c r="K104" s="181"/>
      <c r="L104" s="83"/>
      <c r="M104" s="83"/>
      <c r="N104" s="83"/>
      <c r="O104" s="83"/>
      <c r="P104" s="83"/>
      <c r="R104" s="36"/>
      <c r="S104" s="36"/>
      <c r="T104" s="36"/>
      <c r="U104" s="36"/>
      <c r="V104" s="36"/>
      <c r="W104" s="36"/>
      <c r="X104" s="36"/>
      <c r="Y104" s="36"/>
      <c r="Z104" s="36"/>
      <c r="AA104" s="36"/>
      <c r="AB104" s="36"/>
      <c r="AC104" s="36"/>
      <c r="AD104" s="36"/>
      <c r="AE104" s="36"/>
      <c r="AF104" s="36"/>
      <c r="AG104" s="36"/>
      <c r="AH104" s="36"/>
      <c r="AI104" s="36"/>
    </row>
    <row r="105" spans="1:35" s="25" customFormat="1" ht="13.5" customHeight="1" x14ac:dyDescent="0.2">
      <c r="A105" s="203" t="s">
        <v>165</v>
      </c>
      <c r="B105" s="204">
        <v>11</v>
      </c>
      <c r="C105" s="181"/>
      <c r="F105" s="181"/>
      <c r="H105" s="181"/>
      <c r="I105" s="181"/>
      <c r="J105" s="181"/>
      <c r="K105" s="181"/>
      <c r="L105" s="83"/>
      <c r="M105" s="83"/>
      <c r="N105" s="83"/>
      <c r="O105" s="83"/>
      <c r="P105" s="83"/>
      <c r="R105" s="36"/>
      <c r="S105" s="36"/>
      <c r="T105" s="36"/>
      <c r="U105" s="36"/>
      <c r="V105" s="36"/>
      <c r="W105" s="36"/>
      <c r="X105" s="36"/>
      <c r="Y105" s="36"/>
      <c r="Z105" s="36"/>
      <c r="AA105" s="36"/>
      <c r="AB105" s="36"/>
      <c r="AC105" s="36"/>
      <c r="AD105" s="36"/>
      <c r="AE105" s="36"/>
      <c r="AF105" s="36"/>
      <c r="AG105" s="36"/>
      <c r="AH105" s="36"/>
      <c r="AI105" s="36"/>
    </row>
    <row r="106" spans="1:35" s="25" customFormat="1" ht="12" x14ac:dyDescent="0.2">
      <c r="A106" s="200" t="s">
        <v>166</v>
      </c>
      <c r="B106" s="201">
        <v>28</v>
      </c>
      <c r="C106" s="181"/>
      <c r="F106" s="181"/>
      <c r="I106" s="181"/>
      <c r="J106" s="181"/>
      <c r="K106" s="181"/>
      <c r="L106" s="83"/>
      <c r="M106" s="83"/>
      <c r="N106" s="83"/>
      <c r="O106" s="83"/>
      <c r="P106" s="83"/>
      <c r="R106" s="36"/>
      <c r="S106" s="36"/>
      <c r="T106" s="36"/>
      <c r="U106" s="36"/>
      <c r="V106" s="36"/>
      <c r="W106" s="36"/>
      <c r="X106" s="36"/>
      <c r="Y106" s="36"/>
      <c r="Z106" s="36"/>
      <c r="AA106" s="36"/>
      <c r="AB106" s="36"/>
      <c r="AC106" s="36"/>
      <c r="AD106" s="36"/>
      <c r="AE106" s="36"/>
      <c r="AF106" s="36"/>
      <c r="AG106" s="36"/>
      <c r="AH106" s="36"/>
      <c r="AI106" s="36"/>
    </row>
    <row r="107" spans="1:35" s="25" customFormat="1" ht="12" x14ac:dyDescent="0.2">
      <c r="A107" s="203" t="s">
        <v>167</v>
      </c>
      <c r="B107" s="204">
        <v>24</v>
      </c>
      <c r="C107" s="181"/>
      <c r="F107" s="181"/>
      <c r="I107" s="637"/>
      <c r="J107" s="637"/>
      <c r="K107" s="181"/>
      <c r="L107" s="83"/>
      <c r="M107" s="83"/>
      <c r="N107" s="83"/>
      <c r="O107" s="83"/>
      <c r="P107" s="83"/>
      <c r="R107" s="36"/>
      <c r="S107" s="36"/>
      <c r="T107" s="36"/>
      <c r="U107" s="36"/>
      <c r="V107" s="36"/>
      <c r="W107" s="36"/>
      <c r="X107" s="36"/>
      <c r="Y107" s="36"/>
      <c r="Z107" s="36"/>
      <c r="AA107" s="36"/>
      <c r="AB107" s="36"/>
      <c r="AC107" s="36"/>
      <c r="AD107" s="36"/>
      <c r="AE107" s="36"/>
      <c r="AF107" s="36"/>
      <c r="AG107" s="36"/>
      <c r="AH107" s="36"/>
      <c r="AI107" s="36"/>
    </row>
    <row r="108" spans="1:35" s="25" customFormat="1" ht="12" x14ac:dyDescent="0.2">
      <c r="A108" s="203" t="s">
        <v>168</v>
      </c>
      <c r="B108" s="205">
        <v>5</v>
      </c>
      <c r="C108" s="181"/>
      <c r="F108" s="635"/>
      <c r="G108" s="636"/>
      <c r="L108" s="83"/>
      <c r="M108" s="83"/>
      <c r="N108" s="83"/>
      <c r="O108" s="83"/>
      <c r="P108" s="83"/>
      <c r="R108" s="36"/>
      <c r="S108" s="36"/>
      <c r="T108" s="36"/>
      <c r="U108" s="36"/>
      <c r="V108" s="36"/>
      <c r="W108" s="36"/>
      <c r="X108" s="36"/>
      <c r="Y108" s="36"/>
      <c r="Z108" s="36"/>
      <c r="AA108" s="36"/>
      <c r="AB108" s="36"/>
      <c r="AC108" s="36"/>
      <c r="AD108" s="36"/>
      <c r="AE108" s="36"/>
      <c r="AF108" s="36"/>
      <c r="AG108" s="36"/>
      <c r="AH108" s="36"/>
      <c r="AI108" s="36"/>
    </row>
    <row r="109" spans="1:35" s="25" customFormat="1" ht="12" x14ac:dyDescent="0.2">
      <c r="A109" s="203" t="s">
        <v>169</v>
      </c>
      <c r="B109" s="205">
        <v>5</v>
      </c>
      <c r="C109" s="181"/>
      <c r="F109" s="635"/>
      <c r="G109" s="636"/>
      <c r="L109" s="83"/>
      <c r="M109" s="83"/>
      <c r="N109" s="83"/>
      <c r="O109" s="83"/>
      <c r="P109" s="83"/>
      <c r="R109" s="36"/>
      <c r="S109" s="36"/>
      <c r="T109" s="36"/>
      <c r="U109" s="36"/>
      <c r="V109" s="36"/>
      <c r="W109" s="36"/>
      <c r="X109" s="36"/>
      <c r="Y109" s="36"/>
      <c r="Z109" s="36"/>
      <c r="AA109" s="36"/>
      <c r="AB109" s="36"/>
      <c r="AC109" s="36"/>
      <c r="AD109" s="36"/>
      <c r="AE109" s="36"/>
      <c r="AF109" s="36"/>
      <c r="AG109" s="36"/>
      <c r="AH109" s="36"/>
      <c r="AI109" s="36"/>
    </row>
    <row r="110" spans="1:35" s="25" customFormat="1" ht="12" x14ac:dyDescent="0.2">
      <c r="A110" s="203" t="s">
        <v>170</v>
      </c>
      <c r="B110" s="205">
        <v>5</v>
      </c>
      <c r="C110" s="181"/>
      <c r="F110" s="635"/>
      <c r="G110" s="636"/>
      <c r="I110" s="181"/>
      <c r="J110" s="181"/>
      <c r="L110" s="83"/>
      <c r="M110" s="83"/>
      <c r="N110" s="83"/>
      <c r="O110" s="83"/>
      <c r="P110" s="83"/>
      <c r="R110" s="36"/>
      <c r="S110" s="36"/>
      <c r="T110" s="36"/>
      <c r="U110" s="36"/>
      <c r="V110" s="36"/>
      <c r="W110" s="36"/>
      <c r="X110" s="36"/>
      <c r="Y110" s="36"/>
      <c r="Z110" s="36"/>
      <c r="AA110" s="36"/>
      <c r="AB110" s="36"/>
      <c r="AC110" s="36"/>
      <c r="AD110" s="36"/>
      <c r="AE110" s="36"/>
      <c r="AF110" s="36"/>
      <c r="AG110" s="36"/>
      <c r="AH110" s="36"/>
      <c r="AI110" s="36"/>
    </row>
    <row r="111" spans="1:35" s="25" customFormat="1" ht="12" x14ac:dyDescent="0.2">
      <c r="A111" s="203" t="s">
        <v>171</v>
      </c>
      <c r="B111" s="204">
        <v>5</v>
      </c>
      <c r="C111" s="181"/>
      <c r="F111" s="635"/>
      <c r="G111" s="636"/>
      <c r="I111" s="181"/>
      <c r="J111" s="628"/>
      <c r="L111" s="83"/>
      <c r="M111" s="289"/>
      <c r="N111" s="289"/>
      <c r="O111" s="289"/>
      <c r="P111" s="83"/>
      <c r="R111" s="36"/>
      <c r="S111" s="36"/>
      <c r="T111" s="36"/>
      <c r="U111" s="36"/>
      <c r="V111" s="36"/>
      <c r="W111" s="36"/>
      <c r="X111" s="36"/>
      <c r="Y111" s="36"/>
      <c r="Z111" s="36"/>
      <c r="AA111" s="36"/>
      <c r="AB111" s="36"/>
      <c r="AC111" s="36"/>
      <c r="AD111" s="36"/>
      <c r="AE111" s="36"/>
      <c r="AF111" s="36"/>
      <c r="AG111" s="36"/>
      <c r="AH111" s="36"/>
      <c r="AI111" s="36"/>
    </row>
    <row r="112" spans="1:35" s="25" customFormat="1" ht="12" x14ac:dyDescent="0.2">
      <c r="A112" s="203" t="s">
        <v>172</v>
      </c>
      <c r="B112" s="205">
        <v>5</v>
      </c>
      <c r="C112" s="181"/>
      <c r="F112" s="635"/>
      <c r="G112" s="636"/>
      <c r="H112" s="181"/>
      <c r="I112" s="638"/>
      <c r="J112" s="628"/>
      <c r="L112" s="83"/>
      <c r="M112" s="83"/>
      <c r="N112" s="83"/>
      <c r="O112" s="83"/>
      <c r="P112" s="83"/>
      <c r="R112" s="36"/>
      <c r="S112" s="36"/>
      <c r="T112" s="36"/>
      <c r="U112" s="36"/>
      <c r="V112" s="36"/>
      <c r="W112" s="36"/>
      <c r="X112" s="36"/>
      <c r="Y112" s="36"/>
      <c r="Z112" s="36"/>
      <c r="AA112" s="36"/>
      <c r="AB112" s="36"/>
      <c r="AC112" s="36"/>
      <c r="AD112" s="36"/>
      <c r="AE112" s="36"/>
      <c r="AF112" s="36"/>
      <c r="AG112" s="36"/>
      <c r="AH112" s="36"/>
      <c r="AI112" s="36"/>
    </row>
    <row r="113" spans="1:35" s="25" customFormat="1" ht="12" x14ac:dyDescent="0.2">
      <c r="A113" s="203" t="s">
        <v>173</v>
      </c>
      <c r="B113" s="205">
        <v>5</v>
      </c>
      <c r="C113" s="181"/>
      <c r="F113" s="635"/>
      <c r="G113" s="636"/>
      <c r="H113" s="181"/>
      <c r="J113" s="628"/>
      <c r="L113" s="289"/>
      <c r="M113" s="83"/>
      <c r="N113" s="83"/>
      <c r="O113" s="83"/>
      <c r="P113" s="83"/>
      <c r="R113" s="36"/>
      <c r="S113" s="36"/>
      <c r="T113" s="36"/>
      <c r="U113" s="36"/>
      <c r="V113" s="36"/>
      <c r="W113" s="36"/>
      <c r="X113" s="36"/>
      <c r="Y113" s="36"/>
      <c r="Z113" s="36"/>
      <c r="AA113" s="36"/>
      <c r="AB113" s="36"/>
      <c r="AC113" s="36"/>
      <c r="AD113" s="36"/>
      <c r="AE113" s="36"/>
      <c r="AF113" s="36"/>
      <c r="AG113" s="36"/>
      <c r="AH113" s="36"/>
      <c r="AI113" s="36"/>
    </row>
    <row r="114" spans="1:35" s="25" customFormat="1" ht="12" x14ac:dyDescent="0.2">
      <c r="A114" s="203" t="s">
        <v>174</v>
      </c>
      <c r="B114" s="205">
        <v>12</v>
      </c>
      <c r="C114" s="181"/>
      <c r="F114" s="635"/>
      <c r="G114" s="636"/>
      <c r="J114" s="628"/>
      <c r="L114" s="83"/>
      <c r="M114" s="83"/>
      <c r="N114" s="83"/>
      <c r="O114" s="83"/>
      <c r="P114" s="289"/>
      <c r="R114" s="36"/>
      <c r="S114" s="36"/>
      <c r="T114" s="36"/>
      <c r="U114" s="36"/>
      <c r="V114" s="36"/>
      <c r="W114" s="36"/>
      <c r="X114" s="36"/>
      <c r="Y114" s="36"/>
      <c r="Z114" s="36"/>
      <c r="AA114" s="36"/>
      <c r="AB114" s="36"/>
      <c r="AC114" s="36"/>
      <c r="AD114" s="36"/>
      <c r="AE114" s="36"/>
      <c r="AF114" s="36"/>
      <c r="AG114" s="36"/>
      <c r="AH114" s="36"/>
      <c r="AI114" s="36"/>
    </row>
    <row r="115" spans="1:35" s="25" customFormat="1" ht="12" x14ac:dyDescent="0.2">
      <c r="A115" s="203" t="s">
        <v>175</v>
      </c>
      <c r="B115" s="206">
        <v>25</v>
      </c>
      <c r="C115" s="181"/>
      <c r="F115" s="635"/>
      <c r="G115" s="636"/>
      <c r="J115" s="628"/>
      <c r="L115" s="83"/>
      <c r="M115" s="83"/>
      <c r="N115" s="83"/>
      <c r="O115" s="83"/>
      <c r="P115" s="83"/>
      <c r="R115" s="36"/>
      <c r="S115" s="36"/>
      <c r="T115" s="36"/>
      <c r="U115" s="36"/>
      <c r="V115" s="36"/>
      <c r="W115" s="36"/>
      <c r="X115" s="36"/>
      <c r="Y115" s="36"/>
      <c r="Z115" s="36"/>
      <c r="AA115" s="36"/>
      <c r="AB115" s="36"/>
      <c r="AC115" s="36"/>
      <c r="AD115" s="36"/>
      <c r="AE115" s="36"/>
      <c r="AF115" s="36"/>
      <c r="AG115" s="36"/>
      <c r="AH115" s="36"/>
      <c r="AI115" s="36"/>
    </row>
    <row r="116" spans="1:35" s="25" customFormat="1" ht="12" x14ac:dyDescent="0.2">
      <c r="A116" s="203" t="s">
        <v>176</v>
      </c>
      <c r="B116" s="206">
        <v>5</v>
      </c>
      <c r="C116" s="181"/>
      <c r="F116" s="635"/>
      <c r="G116" s="636"/>
      <c r="H116" s="181"/>
      <c r="J116" s="628"/>
      <c r="L116" s="83"/>
      <c r="M116" s="83"/>
      <c r="N116" s="83"/>
      <c r="O116" s="83"/>
      <c r="P116" s="83"/>
      <c r="R116" s="36"/>
      <c r="S116" s="36"/>
      <c r="T116" s="36"/>
      <c r="U116" s="36"/>
      <c r="V116" s="36"/>
      <c r="W116" s="36"/>
      <c r="X116" s="36"/>
      <c r="Y116" s="36"/>
      <c r="Z116" s="36"/>
      <c r="AA116" s="36"/>
      <c r="AB116" s="36"/>
      <c r="AC116" s="36"/>
      <c r="AD116" s="36"/>
      <c r="AE116" s="36"/>
      <c r="AF116" s="36"/>
      <c r="AG116" s="36"/>
      <c r="AH116" s="36"/>
      <c r="AI116" s="36"/>
    </row>
    <row r="117" spans="1:35" s="25" customFormat="1" ht="12" x14ac:dyDescent="0.2">
      <c r="A117" s="203" t="s">
        <v>177</v>
      </c>
      <c r="B117" s="206">
        <v>1</v>
      </c>
      <c r="C117" s="181"/>
      <c r="F117" s="261"/>
      <c r="J117" s="628"/>
      <c r="L117" s="83"/>
      <c r="M117" s="83"/>
      <c r="N117" s="83"/>
      <c r="O117" s="83"/>
      <c r="P117" s="83"/>
      <c r="R117" s="36"/>
      <c r="S117" s="36"/>
      <c r="T117" s="36"/>
      <c r="U117" s="36"/>
      <c r="V117" s="36"/>
      <c r="W117" s="36"/>
      <c r="X117" s="36"/>
      <c r="Y117" s="36"/>
      <c r="Z117" s="36"/>
      <c r="AA117" s="36"/>
      <c r="AB117" s="36"/>
      <c r="AC117" s="36"/>
      <c r="AD117" s="36"/>
      <c r="AE117" s="36"/>
      <c r="AF117" s="36"/>
      <c r="AG117" s="36"/>
      <c r="AH117" s="36"/>
      <c r="AI117" s="36"/>
    </row>
    <row r="118" spans="1:35" s="25" customFormat="1" thickBot="1" x14ac:dyDescent="0.25">
      <c r="A118" s="207" t="s">
        <v>178</v>
      </c>
      <c r="B118" s="639">
        <v>4</v>
      </c>
      <c r="C118" s="181"/>
      <c r="J118" s="628"/>
      <c r="L118" s="83"/>
      <c r="M118" s="83"/>
      <c r="N118" s="83"/>
      <c r="O118" s="83"/>
      <c r="P118" s="83"/>
      <c r="R118" s="36"/>
      <c r="S118" s="36"/>
      <c r="T118" s="36"/>
      <c r="U118" s="36"/>
      <c r="V118" s="36"/>
      <c r="W118" s="36"/>
      <c r="X118" s="36"/>
      <c r="Y118" s="36"/>
      <c r="Z118" s="36"/>
      <c r="AA118" s="36"/>
      <c r="AB118" s="36"/>
      <c r="AC118" s="36"/>
      <c r="AD118" s="36"/>
      <c r="AE118" s="36"/>
      <c r="AF118" s="36"/>
      <c r="AG118" s="36"/>
      <c r="AH118" s="36"/>
      <c r="AI118" s="36"/>
    </row>
    <row r="119" spans="1:35" s="25" customFormat="1" thickBot="1" x14ac:dyDescent="0.25">
      <c r="D119" s="240"/>
      <c r="F119" s="181"/>
      <c r="J119" s="628"/>
      <c r="L119" s="83"/>
      <c r="M119" s="83"/>
      <c r="N119" s="83"/>
      <c r="O119" s="83"/>
      <c r="P119" s="83"/>
      <c r="R119" s="36"/>
      <c r="S119" s="36"/>
      <c r="T119" s="36"/>
      <c r="U119" s="36"/>
      <c r="V119" s="36"/>
      <c r="W119" s="36"/>
      <c r="X119" s="36"/>
      <c r="Y119" s="36"/>
      <c r="Z119" s="36"/>
      <c r="AA119" s="36"/>
      <c r="AB119" s="36"/>
      <c r="AC119" s="36"/>
      <c r="AD119" s="36"/>
      <c r="AE119" s="36"/>
      <c r="AF119" s="36"/>
      <c r="AG119" s="36"/>
      <c r="AH119" s="36"/>
      <c r="AI119" s="36"/>
    </row>
    <row r="120" spans="1:35" s="25" customFormat="1" thickBot="1" x14ac:dyDescent="0.25">
      <c r="A120" s="676" t="s">
        <v>179</v>
      </c>
      <c r="B120" s="677"/>
      <c r="C120" s="677"/>
      <c r="D120" s="677"/>
      <c r="E120" s="677"/>
      <c r="F120" s="678"/>
      <c r="L120" s="83"/>
      <c r="M120" s="83"/>
      <c r="N120" s="83"/>
      <c r="O120" s="83"/>
      <c r="P120" s="83"/>
      <c r="R120" s="36"/>
      <c r="S120" s="36"/>
      <c r="T120" s="36"/>
      <c r="U120" s="36"/>
      <c r="V120" s="36"/>
      <c r="W120" s="36"/>
      <c r="X120" s="36"/>
      <c r="Y120" s="36"/>
      <c r="Z120" s="36"/>
      <c r="AA120" s="36"/>
      <c r="AB120" s="36"/>
      <c r="AC120" s="36"/>
      <c r="AD120" s="36"/>
      <c r="AE120" s="36"/>
      <c r="AF120" s="36"/>
      <c r="AG120" s="36"/>
      <c r="AH120" s="36"/>
      <c r="AI120" s="36"/>
    </row>
    <row r="121" spans="1:35" s="25" customFormat="1" ht="12" x14ac:dyDescent="0.2">
      <c r="A121" s="84" t="s">
        <v>180</v>
      </c>
      <c r="B121" s="244" t="s">
        <v>181</v>
      </c>
      <c r="C121" s="244" t="s">
        <v>181</v>
      </c>
      <c r="D121" s="244" t="s">
        <v>181</v>
      </c>
      <c r="E121" s="85"/>
      <c r="F121" s="88" t="s">
        <v>181</v>
      </c>
      <c r="L121" s="83"/>
      <c r="M121" s="83"/>
      <c r="N121" s="83"/>
      <c r="O121" s="83"/>
      <c r="P121" s="83"/>
      <c r="R121" s="36"/>
      <c r="S121" s="36"/>
      <c r="T121" s="36"/>
      <c r="U121" s="36"/>
      <c r="V121" s="36"/>
      <c r="W121" s="36"/>
      <c r="X121" s="36"/>
      <c r="Y121" s="36"/>
      <c r="Z121" s="36"/>
      <c r="AA121" s="36"/>
      <c r="AB121" s="36"/>
      <c r="AC121" s="36"/>
      <c r="AD121" s="36"/>
      <c r="AE121" s="36"/>
      <c r="AF121" s="36"/>
      <c r="AG121" s="36"/>
      <c r="AH121" s="36"/>
      <c r="AI121" s="36"/>
    </row>
    <row r="122" spans="1:35" s="25" customFormat="1" ht="13.5" customHeight="1" thickBot="1" x14ac:dyDescent="0.25">
      <c r="A122" s="86" t="s">
        <v>182</v>
      </c>
      <c r="B122" s="269"/>
      <c r="C122" s="269"/>
      <c r="D122" s="150"/>
      <c r="E122" s="87" t="s">
        <v>181</v>
      </c>
      <c r="F122" s="89"/>
      <c r="L122" s="83"/>
      <c r="M122" s="83"/>
      <c r="N122" s="83"/>
      <c r="O122" s="83"/>
      <c r="P122" s="83"/>
      <c r="R122" s="36"/>
      <c r="S122" s="36"/>
      <c r="T122" s="36"/>
      <c r="U122" s="36"/>
      <c r="V122" s="36"/>
      <c r="W122" s="36"/>
      <c r="X122" s="36"/>
      <c r="Y122" s="36"/>
      <c r="Z122" s="36"/>
      <c r="AA122" s="36"/>
      <c r="AB122" s="36"/>
      <c r="AC122" s="36"/>
      <c r="AD122" s="36"/>
      <c r="AE122" s="36"/>
      <c r="AF122" s="36"/>
      <c r="AG122" s="36"/>
      <c r="AH122" s="36"/>
      <c r="AI122" s="36"/>
    </row>
    <row r="123" spans="1:35" s="25" customFormat="1" ht="13.5" thickBot="1" x14ac:dyDescent="0.25">
      <c r="A123" s="105"/>
      <c r="B123" s="105"/>
      <c r="C123" s="105"/>
      <c r="D123" s="657"/>
      <c r="E123" s="105"/>
      <c r="F123" s="105"/>
      <c r="L123" s="83"/>
      <c r="M123" s="83"/>
      <c r="N123" s="83"/>
      <c r="O123" s="83"/>
      <c r="P123" s="83"/>
      <c r="R123" s="36"/>
      <c r="S123" s="36"/>
      <c r="T123" s="36"/>
      <c r="U123" s="36"/>
      <c r="V123" s="36"/>
      <c r="W123" s="36"/>
      <c r="X123" s="36"/>
      <c r="Y123" s="36"/>
      <c r="Z123" s="36"/>
      <c r="AA123" s="36"/>
      <c r="AB123" s="36"/>
      <c r="AC123" s="36"/>
      <c r="AD123" s="36"/>
      <c r="AE123" s="36"/>
      <c r="AF123" s="36"/>
      <c r="AG123" s="36"/>
      <c r="AH123" s="36"/>
      <c r="AI123" s="36"/>
    </row>
    <row r="124" spans="1:35" ht="13.5" thickBot="1" x14ac:dyDescent="0.25">
      <c r="A124" s="640" t="s">
        <v>183</v>
      </c>
      <c r="B124" s="660" t="s">
        <v>184</v>
      </c>
      <c r="C124" s="661"/>
      <c r="D124" s="662" t="s">
        <v>185</v>
      </c>
      <c r="E124" s="663"/>
      <c r="F124" s="664" t="s">
        <v>186</v>
      </c>
      <c r="G124" s="665"/>
      <c r="H124" s="25"/>
      <c r="Q124" s="25"/>
    </row>
    <row r="125" spans="1:35" x14ac:dyDescent="0.2">
      <c r="A125" s="641" t="s">
        <v>187</v>
      </c>
      <c r="B125" s="336"/>
      <c r="C125" s="337"/>
      <c r="D125" s="337"/>
      <c r="E125" s="337"/>
      <c r="F125" s="337"/>
      <c r="G125" s="338"/>
      <c r="H125" s="105"/>
    </row>
    <row r="126" spans="1:35" x14ac:dyDescent="0.2">
      <c r="A126" s="642" t="s">
        <v>188</v>
      </c>
      <c r="B126" s="340">
        <v>4</v>
      </c>
      <c r="C126" s="340"/>
      <c r="D126" s="341">
        <v>3</v>
      </c>
      <c r="E126" s="341">
        <v>2</v>
      </c>
      <c r="F126" s="342">
        <v>1</v>
      </c>
      <c r="G126" s="343">
        <v>0</v>
      </c>
      <c r="H126" s="105"/>
      <c r="J126" s="113" t="s">
        <v>189</v>
      </c>
    </row>
    <row r="127" spans="1:35" x14ac:dyDescent="0.2">
      <c r="A127" s="642" t="s">
        <v>190</v>
      </c>
      <c r="B127" s="344">
        <v>4</v>
      </c>
      <c r="C127" s="345">
        <v>3</v>
      </c>
      <c r="D127" s="346"/>
      <c r="E127" s="346">
        <v>2</v>
      </c>
      <c r="F127" s="342">
        <v>1</v>
      </c>
      <c r="G127" s="348">
        <v>0</v>
      </c>
      <c r="H127" s="105"/>
      <c r="J127" s="113" t="s">
        <v>52</v>
      </c>
    </row>
    <row r="128" spans="1:35" x14ac:dyDescent="0.2">
      <c r="A128" s="643" t="s">
        <v>124</v>
      </c>
      <c r="B128" s="167"/>
      <c r="C128" s="644"/>
      <c r="D128" s="644"/>
      <c r="E128" s="644"/>
      <c r="F128" s="644"/>
      <c r="G128" s="645"/>
      <c r="H128" s="105"/>
    </row>
    <row r="129" spans="1:35" x14ac:dyDescent="0.2">
      <c r="A129" s="642" t="str">
        <f t="shared" ref="A129:A136" si="24">A39</f>
        <v>Ready MH-53E SAR/MEDEVAC Mission Systems (C)</v>
      </c>
      <c r="B129" s="353">
        <v>4</v>
      </c>
      <c r="C129" s="353">
        <v>3</v>
      </c>
      <c r="D129" s="354">
        <v>2</v>
      </c>
      <c r="E129" s="346"/>
      <c r="F129" s="355">
        <v>1</v>
      </c>
      <c r="G129" s="356">
        <v>0</v>
      </c>
      <c r="H129" s="105"/>
    </row>
    <row r="130" spans="1:35" x14ac:dyDescent="0.2">
      <c r="A130" s="642" t="str">
        <f t="shared" si="24"/>
        <v>Ready MH-53E Logistics Support Mission Systems (D)</v>
      </c>
      <c r="B130" s="340">
        <v>4</v>
      </c>
      <c r="C130" s="353">
        <v>3</v>
      </c>
      <c r="D130" s="341">
        <v>2</v>
      </c>
      <c r="E130" s="346"/>
      <c r="F130" s="355">
        <v>1</v>
      </c>
      <c r="G130" s="356">
        <v>0</v>
      </c>
      <c r="H130" s="105"/>
    </row>
    <row r="131" spans="1:35" x14ac:dyDescent="0.2">
      <c r="A131" s="642" t="str">
        <f t="shared" si="24"/>
        <v>Ready MH-53E Expanded Mobility Mission Systems (E)</v>
      </c>
      <c r="B131" s="340">
        <v>4</v>
      </c>
      <c r="C131" s="353">
        <v>3</v>
      </c>
      <c r="D131" s="341">
        <v>2</v>
      </c>
      <c r="E131" s="346"/>
      <c r="F131" s="355">
        <v>1</v>
      </c>
      <c r="G131" s="356">
        <v>0</v>
      </c>
      <c r="H131" s="105"/>
    </row>
    <row r="132" spans="1:35" x14ac:dyDescent="0.2">
      <c r="A132" s="642" t="str">
        <f t="shared" si="24"/>
        <v>Ready MH-53E SUW and Special Warfare Mission Systems (F)</v>
      </c>
      <c r="B132" s="340">
        <v>4</v>
      </c>
      <c r="C132" s="353">
        <v>3</v>
      </c>
      <c r="D132" s="341">
        <v>2</v>
      </c>
      <c r="E132" s="346"/>
      <c r="F132" s="355">
        <v>1</v>
      </c>
      <c r="G132" s="356">
        <v>0</v>
      </c>
      <c r="H132" s="105"/>
    </row>
    <row r="133" spans="1:35" x14ac:dyDescent="0.2">
      <c r="A133" s="642" t="str">
        <f t="shared" si="24"/>
        <v>Ready MH-53E Real-Time Diagnostics and Fault Monitoring Systems (I)</v>
      </c>
      <c r="B133" s="340">
        <v>4</v>
      </c>
      <c r="C133" s="353">
        <v>3</v>
      </c>
      <c r="D133" s="341">
        <v>2</v>
      </c>
      <c r="E133" s="346"/>
      <c r="F133" s="355">
        <v>1</v>
      </c>
      <c r="G133" s="343">
        <v>0</v>
      </c>
      <c r="H133" s="105"/>
    </row>
    <row r="134" spans="1:35" x14ac:dyDescent="0.2">
      <c r="A134" s="642" t="str">
        <f t="shared" si="24"/>
        <v>Ready MH-53E Airborne Mine Counter Measures Mission (AMCM) Systems (J)</v>
      </c>
      <c r="B134" s="344">
        <v>4</v>
      </c>
      <c r="C134" s="353">
        <v>3</v>
      </c>
      <c r="D134" s="346">
        <v>2</v>
      </c>
      <c r="E134" s="346"/>
      <c r="F134" s="355">
        <v>1</v>
      </c>
      <c r="G134" s="348">
        <v>0</v>
      </c>
      <c r="H134" s="105"/>
    </row>
    <row r="135" spans="1:35" x14ac:dyDescent="0.2">
      <c r="A135" s="642" t="str">
        <f t="shared" si="24"/>
        <v>Ready MH-53E Shipboard Mission Systems (K)</v>
      </c>
      <c r="B135" s="344">
        <v>4</v>
      </c>
      <c r="C135" s="353">
        <v>3</v>
      </c>
      <c r="D135" s="346">
        <v>2</v>
      </c>
      <c r="E135" s="346"/>
      <c r="F135" s="355">
        <v>1</v>
      </c>
      <c r="G135" s="348">
        <v>0</v>
      </c>
    </row>
    <row r="136" spans="1:35" x14ac:dyDescent="0.2">
      <c r="A136" s="642" t="str">
        <f t="shared" si="24"/>
        <v>Ready MH-53E IMC Flight Mission Systems (L)</v>
      </c>
      <c r="B136" s="344">
        <v>4</v>
      </c>
      <c r="C136" s="353">
        <v>3</v>
      </c>
      <c r="D136" s="346">
        <v>2</v>
      </c>
      <c r="E136" s="346"/>
      <c r="F136" s="355">
        <v>1</v>
      </c>
      <c r="G136" s="348">
        <v>0</v>
      </c>
    </row>
    <row r="137" spans="1:35" x14ac:dyDescent="0.2">
      <c r="A137" s="646" t="s">
        <v>133</v>
      </c>
      <c r="B137" s="167"/>
      <c r="C137" s="644"/>
      <c r="D137" s="644"/>
      <c r="E137" s="644"/>
      <c r="F137" s="644"/>
      <c r="G137" s="645"/>
    </row>
    <row r="138" spans="1:35" x14ac:dyDescent="0.2">
      <c r="A138" s="642" t="str">
        <f t="shared" ref="A138:A149" si="25">A48</f>
        <v>Assigned Guns Sets</v>
      </c>
      <c r="B138" s="344">
        <v>8</v>
      </c>
      <c r="C138" s="340"/>
      <c r="D138" s="346">
        <v>7</v>
      </c>
      <c r="E138" s="346">
        <v>6</v>
      </c>
      <c r="F138" s="347">
        <v>5</v>
      </c>
      <c r="G138" s="348">
        <v>0</v>
      </c>
    </row>
    <row r="139" spans="1:35" x14ac:dyDescent="0.2">
      <c r="A139" s="642" t="str">
        <f t="shared" si="25"/>
        <v>Ready Guns Sets</v>
      </c>
      <c r="B139" s="344">
        <v>8</v>
      </c>
      <c r="C139" s="340">
        <v>6</v>
      </c>
      <c r="D139" s="346">
        <v>5</v>
      </c>
      <c r="E139" s="346">
        <v>3</v>
      </c>
      <c r="F139" s="347">
        <v>2</v>
      </c>
      <c r="G139" s="348">
        <v>0</v>
      </c>
    </row>
    <row r="140" spans="1:35" x14ac:dyDescent="0.2">
      <c r="A140" s="642" t="str">
        <f t="shared" si="25"/>
        <v>Assigned MK 103 Sets</v>
      </c>
      <c r="B140" s="344">
        <v>4</v>
      </c>
      <c r="C140" s="340"/>
      <c r="D140" s="346">
        <v>3</v>
      </c>
      <c r="E140" s="346"/>
      <c r="F140" s="347">
        <v>2</v>
      </c>
      <c r="G140" s="348">
        <v>0</v>
      </c>
    </row>
    <row r="141" spans="1:35" x14ac:dyDescent="0.2">
      <c r="A141" s="642" t="str">
        <f t="shared" si="25"/>
        <v>Ready MK 103 Sets</v>
      </c>
      <c r="B141" s="344">
        <v>4</v>
      </c>
      <c r="C141" s="340">
        <v>3</v>
      </c>
      <c r="D141" s="346">
        <v>2</v>
      </c>
      <c r="E141" s="346"/>
      <c r="F141" s="347">
        <v>1</v>
      </c>
      <c r="G141" s="348">
        <v>0</v>
      </c>
    </row>
    <row r="142" spans="1:35" customFormat="1" x14ac:dyDescent="0.2">
      <c r="A142" s="642" t="str">
        <f t="shared" si="25"/>
        <v>Assigned MK 104 Sets</v>
      </c>
      <c r="B142" s="344">
        <v>2</v>
      </c>
      <c r="C142" s="340"/>
      <c r="D142" s="346">
        <v>1</v>
      </c>
      <c r="E142" s="346"/>
      <c r="F142" s="347"/>
      <c r="G142" s="348">
        <v>0</v>
      </c>
      <c r="I142" s="105"/>
      <c r="J142" s="105"/>
      <c r="K142" s="105"/>
      <c r="L142" s="83"/>
      <c r="M142" s="83"/>
      <c r="N142" s="83"/>
      <c r="O142" s="83"/>
      <c r="P142" s="83"/>
      <c r="R142" s="115"/>
      <c r="S142" s="115"/>
      <c r="T142" s="115"/>
      <c r="U142" s="115"/>
      <c r="V142" s="115"/>
      <c r="W142" s="115"/>
      <c r="X142" s="115"/>
      <c r="Y142" s="115"/>
      <c r="Z142" s="115"/>
      <c r="AA142" s="115"/>
      <c r="AB142" s="115"/>
      <c r="AC142" s="115"/>
      <c r="AD142" s="115"/>
      <c r="AE142" s="115"/>
      <c r="AF142" s="115"/>
      <c r="AG142" s="115"/>
      <c r="AH142" s="115"/>
      <c r="AI142" s="115"/>
    </row>
    <row r="143" spans="1:35" customFormat="1" x14ac:dyDescent="0.2">
      <c r="A143" s="642" t="str">
        <f t="shared" si="25"/>
        <v>Ready MK 104 Sets</v>
      </c>
      <c r="B143" s="344">
        <v>2</v>
      </c>
      <c r="C143" s="340">
        <v>1</v>
      </c>
      <c r="D143" s="346"/>
      <c r="E143" s="346"/>
      <c r="F143" s="347"/>
      <c r="G143" s="348">
        <v>0</v>
      </c>
      <c r="I143" s="105"/>
      <c r="J143" s="105"/>
      <c r="K143" s="105"/>
      <c r="L143" s="83"/>
      <c r="M143" s="83"/>
      <c r="N143" s="83"/>
      <c r="O143" s="83"/>
      <c r="P143" s="83"/>
      <c r="R143" s="115"/>
      <c r="S143" s="115"/>
      <c r="T143" s="115"/>
      <c r="U143" s="115"/>
      <c r="V143" s="115"/>
      <c r="W143" s="115"/>
      <c r="X143" s="115"/>
      <c r="Y143" s="115"/>
      <c r="Z143" s="115"/>
      <c r="AA143" s="115"/>
      <c r="AB143" s="115"/>
      <c r="AC143" s="115"/>
      <c r="AD143" s="115"/>
      <c r="AE143" s="115"/>
      <c r="AF143" s="115"/>
      <c r="AG143" s="115"/>
      <c r="AH143" s="115"/>
      <c r="AI143" s="115"/>
    </row>
    <row r="144" spans="1:35" customFormat="1" x14ac:dyDescent="0.2">
      <c r="A144" s="642" t="str">
        <f t="shared" si="25"/>
        <v>Assigned MK 105 Sets</v>
      </c>
      <c r="B144" s="344">
        <v>3</v>
      </c>
      <c r="C144" s="340"/>
      <c r="D144" s="346">
        <v>2</v>
      </c>
      <c r="E144" s="346"/>
      <c r="F144" s="347">
        <v>1</v>
      </c>
      <c r="G144" s="348">
        <v>0</v>
      </c>
      <c r="I144" s="105"/>
      <c r="J144" s="105"/>
      <c r="K144" s="105"/>
      <c r="L144" s="83"/>
      <c r="M144" s="83"/>
      <c r="N144" s="83"/>
      <c r="O144" s="83"/>
      <c r="P144" s="83"/>
      <c r="R144" s="115"/>
      <c r="S144" s="115"/>
      <c r="T144" s="115"/>
      <c r="U144" s="115"/>
      <c r="V144" s="115"/>
      <c r="W144" s="115"/>
      <c r="X144" s="115"/>
      <c r="Y144" s="115"/>
      <c r="Z144" s="115"/>
      <c r="AA144" s="115"/>
      <c r="AB144" s="115"/>
      <c r="AC144" s="115"/>
      <c r="AD144" s="115"/>
      <c r="AE144" s="115"/>
      <c r="AF144" s="115"/>
      <c r="AG144" s="115"/>
      <c r="AH144" s="115"/>
      <c r="AI144" s="115"/>
    </row>
    <row r="145" spans="1:35" customFormat="1" x14ac:dyDescent="0.2">
      <c r="A145" s="642" t="str">
        <f t="shared" si="25"/>
        <v>Ready MK 105 Sets</v>
      </c>
      <c r="B145" s="344">
        <v>3</v>
      </c>
      <c r="C145" s="340">
        <v>2</v>
      </c>
      <c r="D145" s="346">
        <v>1</v>
      </c>
      <c r="E145" s="346"/>
      <c r="F145" s="347"/>
      <c r="G145" s="348">
        <v>0</v>
      </c>
      <c r="I145" s="105"/>
      <c r="J145" s="105"/>
      <c r="K145" s="105"/>
      <c r="L145" s="83"/>
      <c r="M145" s="83"/>
      <c r="N145" s="83"/>
      <c r="O145" s="83"/>
      <c r="P145" s="83"/>
      <c r="R145" s="115"/>
      <c r="S145" s="115"/>
      <c r="T145" s="115"/>
      <c r="U145" s="115"/>
      <c r="V145" s="115"/>
      <c r="W145" s="115"/>
      <c r="X145" s="115"/>
      <c r="Y145" s="115"/>
      <c r="Z145" s="115"/>
      <c r="AA145" s="115"/>
      <c r="AB145" s="115"/>
      <c r="AC145" s="115"/>
      <c r="AD145" s="115"/>
      <c r="AE145" s="115"/>
      <c r="AF145" s="115"/>
      <c r="AG145" s="115"/>
      <c r="AH145" s="115"/>
      <c r="AI145" s="115"/>
    </row>
    <row r="146" spans="1:35" customFormat="1" x14ac:dyDescent="0.2">
      <c r="A146" s="642" t="str">
        <f t="shared" si="25"/>
        <v>Assigned Q24 Sets</v>
      </c>
      <c r="B146" s="344">
        <v>4</v>
      </c>
      <c r="C146" s="340"/>
      <c r="D146" s="346">
        <v>3</v>
      </c>
      <c r="E146" s="346"/>
      <c r="F146" s="347">
        <v>2</v>
      </c>
      <c r="G146" s="348">
        <v>0</v>
      </c>
      <c r="I146" s="105"/>
      <c r="J146" s="105"/>
      <c r="K146" s="105"/>
      <c r="L146" s="83"/>
      <c r="M146" s="83"/>
      <c r="N146" s="83"/>
      <c r="O146" s="83"/>
      <c r="P146" s="83"/>
      <c r="R146" s="115"/>
      <c r="S146" s="115"/>
      <c r="T146" s="115"/>
      <c r="U146" s="115"/>
      <c r="V146" s="115"/>
      <c r="W146" s="115"/>
      <c r="X146" s="115"/>
      <c r="Y146" s="115"/>
      <c r="Z146" s="115"/>
      <c r="AA146" s="115"/>
      <c r="AB146" s="115"/>
      <c r="AC146" s="115"/>
      <c r="AD146" s="115"/>
      <c r="AE146" s="115"/>
      <c r="AF146" s="115"/>
      <c r="AG146" s="115"/>
      <c r="AH146" s="115"/>
      <c r="AI146" s="115"/>
    </row>
    <row r="147" spans="1:35" customFormat="1" x14ac:dyDescent="0.2">
      <c r="A147" s="642" t="str">
        <f t="shared" si="25"/>
        <v>Ready Q24 Sets</v>
      </c>
      <c r="B147" s="344">
        <v>4</v>
      </c>
      <c r="C147" s="340">
        <v>3</v>
      </c>
      <c r="D147" s="346">
        <v>2</v>
      </c>
      <c r="E147" s="346"/>
      <c r="F147" s="347">
        <v>1</v>
      </c>
      <c r="G147" s="348">
        <v>0</v>
      </c>
      <c r="I147" s="105"/>
      <c r="J147" s="105"/>
      <c r="K147" s="105"/>
      <c r="L147" s="83"/>
      <c r="M147" s="83"/>
      <c r="N147" s="83"/>
      <c r="O147" s="83"/>
      <c r="P147" s="83"/>
      <c r="R147" s="115"/>
      <c r="S147" s="115"/>
      <c r="T147" s="115"/>
      <c r="U147" s="115"/>
      <c r="V147" s="115"/>
      <c r="W147" s="115"/>
      <c r="X147" s="115"/>
      <c r="Y147" s="115"/>
      <c r="Z147" s="115"/>
      <c r="AA147" s="115"/>
      <c r="AB147" s="115"/>
      <c r="AC147" s="115"/>
      <c r="AD147" s="115"/>
      <c r="AE147" s="115"/>
      <c r="AF147" s="115"/>
      <c r="AG147" s="115"/>
      <c r="AH147" s="115"/>
      <c r="AI147" s="115"/>
    </row>
    <row r="148" spans="1:35" customFormat="1" x14ac:dyDescent="0.2">
      <c r="A148" s="642" t="str">
        <f t="shared" si="25"/>
        <v>Assigned MOP Sets</v>
      </c>
      <c r="B148" s="344">
        <v>2</v>
      </c>
      <c r="C148" s="340"/>
      <c r="D148" s="346">
        <v>1</v>
      </c>
      <c r="E148" s="346"/>
      <c r="F148" s="347"/>
      <c r="G148" s="348">
        <v>0</v>
      </c>
      <c r="I148" s="105"/>
      <c r="J148" s="105"/>
      <c r="K148" s="105"/>
      <c r="L148" s="83"/>
      <c r="M148" s="83"/>
      <c r="N148" s="83"/>
      <c r="O148" s="83"/>
      <c r="P148" s="83"/>
      <c r="R148" s="115"/>
      <c r="S148" s="115"/>
      <c r="T148" s="115"/>
      <c r="U148" s="115"/>
      <c r="V148" s="115"/>
      <c r="W148" s="115"/>
      <c r="X148" s="115"/>
      <c r="Y148" s="115"/>
      <c r="Z148" s="115"/>
      <c r="AA148" s="115"/>
      <c r="AB148" s="115"/>
      <c r="AC148" s="115"/>
      <c r="AD148" s="115"/>
      <c r="AE148" s="115"/>
      <c r="AF148" s="115"/>
      <c r="AG148" s="115"/>
      <c r="AH148" s="115"/>
      <c r="AI148" s="115"/>
    </row>
    <row r="149" spans="1:35" ht="13.5" thickBot="1" x14ac:dyDescent="0.25">
      <c r="A149" s="647" t="str">
        <f t="shared" si="25"/>
        <v>Ready MOP Sets</v>
      </c>
      <c r="B149" s="362">
        <v>2</v>
      </c>
      <c r="C149" s="362">
        <v>1</v>
      </c>
      <c r="D149" s="359"/>
      <c r="E149" s="359"/>
      <c r="F149" s="360"/>
      <c r="G149" s="361">
        <v>0</v>
      </c>
    </row>
    <row r="150" spans="1:35" x14ac:dyDescent="0.2">
      <c r="A150"/>
      <c r="B150"/>
      <c r="C150"/>
      <c r="D150" s="181"/>
      <c r="E150" s="181"/>
      <c r="F150" s="181"/>
      <c r="G150" s="181"/>
    </row>
    <row r="152" spans="1:35" x14ac:dyDescent="0.2">
      <c r="A152" s="529" t="s">
        <v>191</v>
      </c>
      <c r="B152" s="529" t="s">
        <v>221</v>
      </c>
      <c r="D152" s="657"/>
    </row>
    <row r="153" spans="1:35" x14ac:dyDescent="0.2">
      <c r="A153" s="545" t="s">
        <v>193</v>
      </c>
      <c r="B153" s="530">
        <f>HLOOKUP($B$152,'MH-53E Mission System Summary_O'!$B$1:$F$12,2,FALSE)</f>
        <v>0.72701314629565739</v>
      </c>
      <c r="D153" s="657"/>
    </row>
    <row r="154" spans="1:35" x14ac:dyDescent="0.2">
      <c r="A154" s="522" t="s">
        <v>125</v>
      </c>
      <c r="B154" s="530">
        <f>HLOOKUP($B$152,'MH-53E Mission System Summary_O'!$B$1:$F$12,3,FALSE)</f>
        <v>0.46909853972634252</v>
      </c>
      <c r="D154" s="657"/>
    </row>
    <row r="155" spans="1:35" x14ac:dyDescent="0.2">
      <c r="A155" s="522" t="s">
        <v>126</v>
      </c>
      <c r="B155" s="530">
        <f>HLOOKUP($B$152,'MH-53E Mission System Summary_O'!$B$1:$F$12,4,FALSE)</f>
        <v>0.45771530412786032</v>
      </c>
      <c r="D155" s="657"/>
    </row>
    <row r="156" spans="1:35" x14ac:dyDescent="0.2">
      <c r="A156" s="522" t="s">
        <v>127</v>
      </c>
      <c r="B156" s="530">
        <f>HLOOKUP($B$152,'MH-53E Mission System Summary_O'!$B$1:$F$12,5,FALSE)</f>
        <v>0.58482810164424515</v>
      </c>
      <c r="D156" s="657"/>
    </row>
    <row r="157" spans="1:35" x14ac:dyDescent="0.2">
      <c r="A157" s="525" t="s">
        <v>128</v>
      </c>
      <c r="B157" s="530">
        <f>HLOOKUP($B$152,'MH-53E Mission System Summary_O'!$B$1:$F$12,6,FALSE)</f>
        <v>0</v>
      </c>
      <c r="D157" s="657"/>
    </row>
    <row r="158" spans="1:35" x14ac:dyDescent="0.2">
      <c r="A158" s="522" t="s">
        <v>129</v>
      </c>
      <c r="B158" s="530">
        <f>HLOOKUP($B$152,'MH-53E Mission System Summary_O'!$B$1:$F$12,7,FALSE)</f>
        <v>0</v>
      </c>
      <c r="D158" s="657"/>
    </row>
    <row r="159" spans="1:35" x14ac:dyDescent="0.2">
      <c r="A159" s="522" t="s">
        <v>130</v>
      </c>
      <c r="B159" s="530">
        <f>HLOOKUP($B$152,'MH-53E Mission System Summary_O'!$B$1:$F$12,8,FALSE)</f>
        <v>0.46941474071518929</v>
      </c>
      <c r="D159" s="657"/>
    </row>
    <row r="160" spans="1:35" x14ac:dyDescent="0.2">
      <c r="A160" s="522" t="s">
        <v>131</v>
      </c>
      <c r="B160" s="530">
        <f>HLOOKUP($B$152,'MH-53E Mission System Summary_O'!$B$1:$F$12,9,FALSE)</f>
        <v>0.59621133724272746</v>
      </c>
      <c r="D160" s="657"/>
    </row>
    <row r="161" spans="1:2" x14ac:dyDescent="0.2">
      <c r="A161" s="522" t="s">
        <v>132</v>
      </c>
      <c r="B161" s="530">
        <f>HLOOKUP($B$152,'MH-53E Mission System Summary_O'!$B$1:$F$12,10,FALSE)</f>
        <v>1</v>
      </c>
    </row>
  </sheetData>
  <mergeCells count="9">
    <mergeCell ref="B124:C124"/>
    <mergeCell ref="D124:E124"/>
    <mergeCell ref="F124:G124"/>
    <mergeCell ref="A1:C1"/>
    <mergeCell ref="M17:P17"/>
    <mergeCell ref="M29:Q29"/>
    <mergeCell ref="M49:N49"/>
    <mergeCell ref="A92:F92"/>
    <mergeCell ref="A120:F120"/>
  </mergeCells>
  <conditionalFormatting sqref="C139:C141 C126:C136">
    <cfRule type="cellIs" dxfId="78" priority="29" operator="equal">
      <formula>B126</formula>
    </cfRule>
  </conditionalFormatting>
  <conditionalFormatting sqref="D139:E141 D126:E136">
    <cfRule type="cellIs" dxfId="77" priority="28" operator="equal">
      <formula>C126</formula>
    </cfRule>
  </conditionalFormatting>
  <conditionalFormatting sqref="E126">
    <cfRule type="cellIs" dxfId="76" priority="27" operator="equal">
      <formula>D126</formula>
    </cfRule>
  </conditionalFormatting>
  <conditionalFormatting sqref="F126">
    <cfRule type="cellIs" dxfId="75" priority="26" operator="equal">
      <formula>E126</formula>
    </cfRule>
  </conditionalFormatting>
  <conditionalFormatting sqref="C126:C136">
    <cfRule type="cellIs" dxfId="74" priority="25" operator="equal">
      <formula>B126</formula>
    </cfRule>
  </conditionalFormatting>
  <conditionalFormatting sqref="D126:E136">
    <cfRule type="cellIs" dxfId="73" priority="24" operator="equal">
      <formula>C126</formula>
    </cfRule>
  </conditionalFormatting>
  <conditionalFormatting sqref="E126">
    <cfRule type="cellIs" dxfId="72" priority="23" operator="equal">
      <formula>D126</formula>
    </cfRule>
  </conditionalFormatting>
  <conditionalFormatting sqref="F126">
    <cfRule type="cellIs" dxfId="71" priority="22" operator="equal">
      <formula>E126</formula>
    </cfRule>
  </conditionalFormatting>
  <conditionalFormatting sqref="F126">
    <cfRule type="cellIs" dxfId="70" priority="21" operator="equal">
      <formula>E126</formula>
    </cfRule>
  </conditionalFormatting>
  <conditionalFormatting sqref="C126">
    <cfRule type="cellIs" dxfId="69" priority="20" operator="equal">
      <formula>B126</formula>
    </cfRule>
  </conditionalFormatting>
  <conditionalFormatting sqref="D126">
    <cfRule type="cellIs" dxfId="68" priority="19" operator="equal">
      <formula>C126</formula>
    </cfRule>
  </conditionalFormatting>
  <conditionalFormatting sqref="E126">
    <cfRule type="cellIs" dxfId="67" priority="18" operator="equal">
      <formula>D126</formula>
    </cfRule>
  </conditionalFormatting>
  <conditionalFormatting sqref="D126">
    <cfRule type="cellIs" dxfId="66" priority="17" operator="equal">
      <formula>C126</formula>
    </cfRule>
  </conditionalFormatting>
  <conditionalFormatting sqref="E126">
    <cfRule type="cellIs" dxfId="65" priority="16" operator="equal">
      <formula>D126</formula>
    </cfRule>
  </conditionalFormatting>
  <conditionalFormatting sqref="C138:C149">
    <cfRule type="cellIs" dxfId="64" priority="15" operator="equal">
      <formula>B138</formula>
    </cfRule>
  </conditionalFormatting>
  <conditionalFormatting sqref="D138:E149">
    <cfRule type="cellIs" dxfId="63" priority="14" operator="equal">
      <formula>C138</formula>
    </cfRule>
  </conditionalFormatting>
  <conditionalFormatting sqref="F138:F149">
    <cfRule type="cellIs" dxfId="62" priority="12" operator="equal">
      <formula>G138</formula>
    </cfRule>
    <cfRule type="cellIs" dxfId="61" priority="13" operator="equal">
      <formula>E138</formula>
    </cfRule>
  </conditionalFormatting>
  <conditionalFormatting sqref="C138:C149">
    <cfRule type="cellIs" dxfId="60" priority="11" operator="equal">
      <formula>B138</formula>
    </cfRule>
  </conditionalFormatting>
  <conditionalFormatting sqref="D138:E149">
    <cfRule type="cellIs" dxfId="59" priority="10" operator="equal">
      <formula>C138</formula>
    </cfRule>
  </conditionalFormatting>
  <conditionalFormatting sqref="F138:F149">
    <cfRule type="cellIs" dxfId="58" priority="8" operator="equal">
      <formula>G138</formula>
    </cfRule>
    <cfRule type="cellIs" dxfId="57" priority="9" operator="equal">
      <formula>E138</formula>
    </cfRule>
  </conditionalFormatting>
  <conditionalFormatting sqref="C137">
    <cfRule type="cellIs" dxfId="56" priority="7" operator="equal">
      <formula>B137</formula>
    </cfRule>
  </conditionalFormatting>
  <conditionalFormatting sqref="D137:E137">
    <cfRule type="cellIs" dxfId="55" priority="6" operator="equal">
      <formula>C137</formula>
    </cfRule>
  </conditionalFormatting>
  <conditionalFormatting sqref="F137">
    <cfRule type="cellIs" dxfId="54" priority="4" operator="equal">
      <formula>G137</formula>
    </cfRule>
    <cfRule type="cellIs" dxfId="53" priority="5" operator="equal">
      <formula>E137</formula>
    </cfRule>
  </conditionalFormatting>
  <conditionalFormatting sqref="F127">
    <cfRule type="cellIs" dxfId="52" priority="3" operator="equal">
      <formula>E127</formula>
    </cfRule>
  </conditionalFormatting>
  <conditionalFormatting sqref="F127">
    <cfRule type="cellIs" dxfId="51" priority="2" operator="equal">
      <formula>E127</formula>
    </cfRule>
  </conditionalFormatting>
  <conditionalFormatting sqref="F127">
    <cfRule type="cellIs" dxfId="50" priority="1" operator="equal">
      <formula>E127</formula>
    </cfRule>
  </conditionalFormatting>
  <dataValidations count="1">
    <dataValidation type="list" allowBlank="1" showInputMessage="1" showErrorMessage="1" sqref="N20" xr:uid="{00000000-0002-0000-0500-000000000000}">
      <formula1>$B$14:$E$14</formula1>
    </dataValidation>
  </dataValidations>
  <hyperlinks>
    <hyperlink ref="F1" location="Inventory!A1" display="Inventory" xr:uid="{00000000-0004-0000-0500-000000000000}"/>
    <hyperlink ref="J126" location="'HM - Bahrain DRRS'!A1" display="Top" xr:uid="{00000000-0004-0000-0500-000001000000}"/>
    <hyperlink ref="F2" location="'HM - Bahrain DRRS'!A155" display="AMFOM" xr:uid="{00000000-0004-0000-0500-000002000000}"/>
    <hyperlink ref="J127" location="Inventory!A1" display="Inventory" xr:uid="{00000000-0004-0000-0500-000003000000}"/>
  </hyperlinks>
  <pageMargins left="0.5" right="0.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3" tint="0.79998168889431442"/>
    <pageSetUpPr fitToPage="1"/>
  </sheetPr>
  <dimension ref="A1:AF161"/>
  <sheetViews>
    <sheetView showGridLines="0" zoomScaleNormal="100" workbookViewId="0">
      <selection activeCell="F1" sqref="F1"/>
    </sheetView>
  </sheetViews>
  <sheetFormatPr defaultRowHeight="12.75" x14ac:dyDescent="0.2"/>
  <cols>
    <col min="1" max="1" width="60" style="114" customWidth="1"/>
    <col min="2" max="3" width="5.7109375" style="114" customWidth="1"/>
    <col min="4" max="4" width="5.7109375" style="160" customWidth="1"/>
    <col min="5" max="8" width="5.7109375" style="105" customWidth="1"/>
    <col min="9" max="9" width="6.28515625" style="105" bestFit="1" customWidth="1"/>
    <col min="10" max="10" width="13.7109375" style="105" customWidth="1"/>
    <col min="11" max="11" width="5.7109375" style="105" customWidth="1"/>
    <col min="12" max="12" width="13" style="83" customWidth="1"/>
    <col min="13" max="13" width="13.7109375" style="83" customWidth="1"/>
    <col min="14" max="14" width="10.42578125" style="83" bestFit="1" customWidth="1"/>
    <col min="15" max="15" width="11.85546875" style="83" bestFit="1" customWidth="1"/>
    <col min="16" max="16" width="13.7109375" style="83" bestFit="1" customWidth="1"/>
    <col min="17" max="17" width="18.5703125" style="213" bestFit="1" customWidth="1"/>
    <col min="18" max="21" width="9.140625" style="105" customWidth="1"/>
    <col min="22" max="16384" width="9.140625" style="105"/>
  </cols>
  <sheetData>
    <row r="1" spans="1:31" s="64" customFormat="1" ht="18.75" x14ac:dyDescent="0.3">
      <c r="A1" s="666" t="s">
        <v>222</v>
      </c>
      <c r="B1" s="666"/>
      <c r="C1" s="666"/>
      <c r="D1" s="61"/>
      <c r="F1" s="113" t="s">
        <v>52</v>
      </c>
      <c r="G1" s="61"/>
      <c r="H1" s="61"/>
      <c r="I1" s="60" t="s">
        <v>53</v>
      </c>
      <c r="J1" s="373">
        <v>44835</v>
      </c>
      <c r="L1" s="516" t="s">
        <v>54</v>
      </c>
      <c r="M1" s="515" t="s">
        <v>223</v>
      </c>
      <c r="N1" s="273"/>
      <c r="O1" s="273"/>
      <c r="P1" s="273"/>
      <c r="Q1" s="213"/>
      <c r="R1" s="63"/>
      <c r="S1" s="63"/>
      <c r="T1" s="62"/>
      <c r="U1" s="62"/>
      <c r="V1" s="62"/>
      <c r="W1" s="62"/>
      <c r="X1" s="62"/>
      <c r="Y1" s="62"/>
      <c r="Z1" s="62"/>
      <c r="AA1" s="62"/>
      <c r="AB1" s="62"/>
      <c r="AC1" s="62"/>
      <c r="AD1" s="62"/>
      <c r="AE1" s="62"/>
    </row>
    <row r="2" spans="1:31" s="36" customFormat="1" ht="12" customHeight="1" x14ac:dyDescent="0.2">
      <c r="A2" s="217" t="s">
        <v>56</v>
      </c>
      <c r="B2" s="41">
        <v>4</v>
      </c>
      <c r="C2" s="217"/>
      <c r="F2" s="476" t="s">
        <v>3</v>
      </c>
      <c r="J2" s="54"/>
      <c r="L2" s="274"/>
      <c r="M2" s="274"/>
      <c r="N2" s="274"/>
      <c r="O2" s="274"/>
      <c r="P2" s="274"/>
      <c r="Q2" s="211"/>
    </row>
    <row r="3" spans="1:31" s="36" customFormat="1" ht="12" customHeight="1" x14ac:dyDescent="0.2">
      <c r="A3" s="217" t="s">
        <v>57</v>
      </c>
      <c r="B3" s="41">
        <f>1.75</f>
        <v>1.75</v>
      </c>
      <c r="D3" s="218"/>
      <c r="L3" s="54"/>
      <c r="M3" s="274"/>
      <c r="N3" s="274"/>
      <c r="O3" s="274"/>
      <c r="P3" s="274"/>
      <c r="Q3" s="211"/>
    </row>
    <row r="4" spans="1:31" s="36" customFormat="1" ht="12" x14ac:dyDescent="0.2">
      <c r="A4" s="217" t="s">
        <v>58</v>
      </c>
      <c r="B4" s="41">
        <v>6</v>
      </c>
      <c r="K4" s="364"/>
      <c r="L4" s="365"/>
      <c r="M4" s="274"/>
      <c r="N4" s="274"/>
      <c r="O4" s="274"/>
      <c r="P4" s="274"/>
      <c r="Q4" s="211"/>
    </row>
    <row r="5" spans="1:31" s="36" customFormat="1" ht="12" x14ac:dyDescent="0.2">
      <c r="A5" s="217" t="s">
        <v>59</v>
      </c>
      <c r="B5" s="157">
        <v>2</v>
      </c>
      <c r="K5" s="365"/>
      <c r="L5" s="365"/>
      <c r="M5" s="274"/>
      <c r="N5" s="274"/>
      <c r="O5" s="274"/>
      <c r="P5" s="274"/>
      <c r="Q5" s="211"/>
    </row>
    <row r="6" spans="1:31" s="36" customFormat="1" ht="12" x14ac:dyDescent="0.2">
      <c r="A6" s="217" t="s">
        <v>60</v>
      </c>
      <c r="B6" s="209">
        <v>24.8</v>
      </c>
      <c r="K6" s="365"/>
      <c r="L6" s="365"/>
      <c r="M6" s="274"/>
      <c r="N6" s="274"/>
      <c r="O6" s="274"/>
      <c r="P6" s="274"/>
      <c r="Q6" s="211"/>
    </row>
    <row r="7" spans="1:31" s="36" customFormat="1" ht="12" x14ac:dyDescent="0.2">
      <c r="A7" s="217" t="s">
        <v>61</v>
      </c>
      <c r="B7" s="157">
        <f xml:space="preserve"> PRODUCT(B4,B6)</f>
        <v>148.80000000000001</v>
      </c>
      <c r="K7" s="365"/>
      <c r="L7" s="365"/>
      <c r="M7" s="314"/>
      <c r="N7" s="314"/>
      <c r="O7" s="274"/>
      <c r="P7" s="274"/>
      <c r="Q7" s="211"/>
    </row>
    <row r="8" spans="1:31" s="36" customFormat="1" ht="12" x14ac:dyDescent="0.2">
      <c r="A8" s="217" t="s">
        <v>62</v>
      </c>
      <c r="B8" s="157">
        <f>B7/B5</f>
        <v>74.400000000000006</v>
      </c>
      <c r="C8" s="219"/>
      <c r="M8" s="314"/>
      <c r="N8" s="314"/>
      <c r="O8" s="274"/>
      <c r="P8" s="274"/>
      <c r="Q8" s="211"/>
      <c r="R8" s="217"/>
    </row>
    <row r="9" spans="1:31" s="36" customFormat="1" ht="12" x14ac:dyDescent="0.2">
      <c r="A9" s="217" t="s">
        <v>63</v>
      </c>
      <c r="B9" s="41">
        <f>C9*B4</f>
        <v>6</v>
      </c>
      <c r="C9" s="36">
        <v>1</v>
      </c>
      <c r="D9" s="220" t="s">
        <v>64</v>
      </c>
      <c r="H9" s="221" t="s">
        <v>65</v>
      </c>
      <c r="I9" s="222">
        <v>0.4</v>
      </c>
      <c r="M9" s="314"/>
      <c r="N9" s="314"/>
      <c r="O9" s="274"/>
      <c r="P9" s="274"/>
      <c r="Q9" s="211"/>
      <c r="R9" s="217"/>
      <c r="S9" s="223"/>
      <c r="T9" s="35"/>
    </row>
    <row r="10" spans="1:31" s="36" customFormat="1" ht="12" x14ac:dyDescent="0.2">
      <c r="A10" s="217" t="s">
        <v>66</v>
      </c>
      <c r="B10" s="41">
        <f>C10*B4</f>
        <v>18.48</v>
      </c>
      <c r="C10" s="223">
        <v>3.08</v>
      </c>
      <c r="D10" s="220" t="s">
        <v>64</v>
      </c>
      <c r="H10" s="224" t="s">
        <v>67</v>
      </c>
      <c r="I10" s="222">
        <v>7.2999999999999995E-2</v>
      </c>
      <c r="M10" s="314"/>
      <c r="N10" s="314"/>
      <c r="O10" s="274"/>
      <c r="P10" s="274"/>
      <c r="Q10" s="211"/>
      <c r="R10" s="217"/>
      <c r="S10" s="35"/>
      <c r="T10" s="225"/>
    </row>
    <row r="11" spans="1:31" s="36" customFormat="1" ht="12" x14ac:dyDescent="0.2">
      <c r="A11" s="226" t="s">
        <v>68</v>
      </c>
      <c r="B11" s="159">
        <f>C11*B4</f>
        <v>12</v>
      </c>
      <c r="C11" s="227">
        <v>2</v>
      </c>
      <c r="D11" s="220" t="s">
        <v>64</v>
      </c>
      <c r="E11" s="35"/>
      <c r="M11" s="314"/>
      <c r="N11" s="314"/>
      <c r="O11" s="274"/>
      <c r="P11" s="274"/>
      <c r="Q11" s="211"/>
    </row>
    <row r="12" spans="1:31" s="36" customFormat="1" ht="12" x14ac:dyDescent="0.2">
      <c r="A12" s="217"/>
      <c r="B12" s="217"/>
      <c r="C12" s="217"/>
      <c r="D12" s="158"/>
      <c r="E12" s="35"/>
      <c r="G12" s="35"/>
      <c r="M12" s="314"/>
      <c r="N12" s="314"/>
      <c r="O12" s="274"/>
      <c r="P12" s="274"/>
      <c r="Q12" s="211"/>
    </row>
    <row r="13" spans="1:31" s="35" customFormat="1" ht="59.25" x14ac:dyDescent="0.4">
      <c r="A13" s="33" t="s">
        <v>69</v>
      </c>
      <c r="B13" s="148" t="s">
        <v>70</v>
      </c>
      <c r="C13" s="148" t="s">
        <v>71</v>
      </c>
      <c r="D13" s="34" t="s">
        <v>72</v>
      </c>
      <c r="E13" s="34" t="s">
        <v>73</v>
      </c>
      <c r="F13" s="65" t="s">
        <v>74</v>
      </c>
      <c r="L13" s="276" t="s">
        <v>75</v>
      </c>
      <c r="M13" s="314"/>
      <c r="N13" s="277"/>
      <c r="O13" s="277"/>
      <c r="P13" s="211"/>
    </row>
    <row r="14" spans="1:31" s="35" customFormat="1" ht="12" x14ac:dyDescent="0.2">
      <c r="A14" s="33" t="s">
        <v>76</v>
      </c>
      <c r="B14" s="237" t="s">
        <v>77</v>
      </c>
      <c r="C14" s="237" t="s">
        <v>78</v>
      </c>
      <c r="D14" s="37" t="s">
        <v>79</v>
      </c>
      <c r="E14" s="37" t="s">
        <v>80</v>
      </c>
      <c r="F14" s="66" t="s">
        <v>81</v>
      </c>
      <c r="G14" s="268">
        <v>1</v>
      </c>
      <c r="K14" s="114"/>
      <c r="L14" s="278"/>
      <c r="M14" s="278"/>
      <c r="N14" s="278"/>
      <c r="O14" s="278"/>
      <c r="P14" s="211"/>
    </row>
    <row r="15" spans="1:31" s="35" customFormat="1" ht="12" x14ac:dyDescent="0.2">
      <c r="A15" s="33" t="s">
        <v>82</v>
      </c>
      <c r="B15" s="238">
        <v>1</v>
      </c>
      <c r="C15" s="238">
        <v>2</v>
      </c>
      <c r="D15" s="38">
        <v>3</v>
      </c>
      <c r="E15" s="38">
        <v>4</v>
      </c>
      <c r="F15" s="66">
        <v>28</v>
      </c>
      <c r="G15" s="268">
        <f>G14+1</f>
        <v>2</v>
      </c>
      <c r="H15" s="54"/>
      <c r="I15" s="36"/>
      <c r="J15" s="54"/>
      <c r="K15" s="114"/>
      <c r="L15" s="278"/>
      <c r="M15" s="278"/>
      <c r="N15" s="278"/>
      <c r="O15" s="278"/>
      <c r="P15" s="211"/>
    </row>
    <row r="16" spans="1:31" s="35" customFormat="1" ht="12" x14ac:dyDescent="0.2">
      <c r="A16" s="33" t="s">
        <v>83</v>
      </c>
      <c r="B16" s="238" t="s">
        <v>84</v>
      </c>
      <c r="C16" s="238" t="s">
        <v>84</v>
      </c>
      <c r="D16" s="132" t="s">
        <v>72</v>
      </c>
      <c r="E16" s="132" t="s">
        <v>73</v>
      </c>
      <c r="F16" s="228" t="s">
        <v>85</v>
      </c>
      <c r="G16" s="268">
        <f t="shared" ref="G16:G59" si="0">G15+1</f>
        <v>3</v>
      </c>
      <c r="K16" s="279"/>
      <c r="L16" s="655"/>
      <c r="M16" s="280"/>
      <c r="N16" s="114"/>
      <c r="O16" s="114"/>
      <c r="P16" s="211"/>
    </row>
    <row r="17" spans="1:32" s="35" customFormat="1" x14ac:dyDescent="0.2">
      <c r="A17" s="231" t="s">
        <v>86</v>
      </c>
      <c r="B17" s="118"/>
      <c r="C17" s="119"/>
      <c r="D17" s="119"/>
      <c r="E17" s="119"/>
      <c r="F17" s="120"/>
      <c r="G17" s="268">
        <f t="shared" si="0"/>
        <v>4</v>
      </c>
      <c r="K17" s="279"/>
      <c r="L17" s="667" t="s">
        <v>87</v>
      </c>
      <c r="M17" s="667"/>
      <c r="N17" s="667"/>
      <c r="O17" s="667"/>
      <c r="P17" s="211"/>
    </row>
    <row r="18" spans="1:32" s="35" customFormat="1" ht="12" x14ac:dyDescent="0.2">
      <c r="A18" s="76" t="s">
        <v>88</v>
      </c>
      <c r="B18" s="133">
        <f>IF(B95&lt;80,B96,MIN(B95,80))</f>
        <v>0</v>
      </c>
      <c r="C18" s="133">
        <f>IF(C95&lt;80,C96,MIN(C95,80))</f>
        <v>5</v>
      </c>
      <c r="D18" s="133">
        <f>IF(D95&lt;80,D96,MIN(D95,80))</f>
        <v>80</v>
      </c>
      <c r="E18" s="133">
        <f>IF(E95&lt;80,E96,MIN(E95,80))</f>
        <v>80</v>
      </c>
      <c r="F18" s="133">
        <f>IF(F95&lt;80,F96,MIN(F95,80))</f>
        <v>22</v>
      </c>
      <c r="G18" s="268">
        <f t="shared" si="0"/>
        <v>5</v>
      </c>
      <c r="K18" s="279"/>
      <c r="L18" s="281"/>
      <c r="M18" s="281"/>
      <c r="N18" s="282"/>
      <c r="O18" s="282"/>
      <c r="P18" s="211"/>
    </row>
    <row r="19" spans="1:32" s="35" customFormat="1" ht="12" x14ac:dyDescent="0.2">
      <c r="A19" s="77" t="s">
        <v>89</v>
      </c>
      <c r="B19" s="127">
        <v>0.5</v>
      </c>
      <c r="C19" s="127">
        <v>0.6</v>
      </c>
      <c r="D19" s="127">
        <v>0.7</v>
      </c>
      <c r="E19" s="127">
        <v>0.8</v>
      </c>
      <c r="F19" s="67">
        <f>I9</f>
        <v>0.4</v>
      </c>
      <c r="G19" s="268">
        <f t="shared" si="0"/>
        <v>6</v>
      </c>
      <c r="K19" s="279"/>
      <c r="L19" s="283" t="s">
        <v>90</v>
      </c>
      <c r="M19" s="283"/>
      <c r="N19" s="284"/>
      <c r="O19" s="284"/>
      <c r="P19" s="211"/>
    </row>
    <row r="20" spans="1:32" s="35" customFormat="1" ht="12" x14ac:dyDescent="0.2">
      <c r="A20" s="125" t="s">
        <v>91</v>
      </c>
      <c r="B20" s="124"/>
      <c r="C20" s="129"/>
      <c r="D20" s="129"/>
      <c r="E20" s="129"/>
      <c r="F20" s="384"/>
      <c r="G20" s="268">
        <f t="shared" si="0"/>
        <v>7</v>
      </c>
      <c r="K20" s="279"/>
      <c r="L20" s="114"/>
      <c r="M20" s="656" t="s">
        <v>77</v>
      </c>
      <c r="N20" s="285" t="s">
        <v>92</v>
      </c>
      <c r="O20" s="114"/>
      <c r="P20" s="211"/>
    </row>
    <row r="21" spans="1:32" s="35" customFormat="1" ht="12" x14ac:dyDescent="0.2">
      <c r="A21" s="78" t="s">
        <v>93</v>
      </c>
      <c r="B21" s="128">
        <f>B19*$B$8</f>
        <v>37.200000000000003</v>
      </c>
      <c r="C21" s="128">
        <f>C19*$B$8</f>
        <v>44.64</v>
      </c>
      <c r="D21" s="128">
        <f>D19*$B$8</f>
        <v>52.08</v>
      </c>
      <c r="E21" s="128">
        <f>E19*$B$8</f>
        <v>59.52000000000001</v>
      </c>
      <c r="F21" s="128">
        <f>F19*$B$8</f>
        <v>29.760000000000005</v>
      </c>
      <c r="G21" s="268">
        <f t="shared" si="0"/>
        <v>8</v>
      </c>
      <c r="K21" s="279"/>
      <c r="L21" s="114"/>
      <c r="M21" s="114"/>
      <c r="N21" s="114"/>
      <c r="O21" s="114"/>
      <c r="P21" s="211"/>
    </row>
    <row r="22" spans="1:32" s="35" customFormat="1" ht="12" x14ac:dyDescent="0.2">
      <c r="A22" s="78" t="s">
        <v>94</v>
      </c>
      <c r="B22" s="260">
        <f>B21*$B$5</f>
        <v>74.400000000000006</v>
      </c>
      <c r="C22" s="260">
        <f>C21*$B$5</f>
        <v>89.28</v>
      </c>
      <c r="D22" s="260">
        <f>D21*$B$5</f>
        <v>104.16</v>
      </c>
      <c r="E22" s="260">
        <f>E21*$B$5</f>
        <v>119.04000000000002</v>
      </c>
      <c r="F22" s="260">
        <f>F21*$B$5</f>
        <v>59.52000000000001</v>
      </c>
      <c r="G22" s="268">
        <f t="shared" si="0"/>
        <v>9</v>
      </c>
      <c r="K22" s="279"/>
      <c r="L22" s="286" t="s">
        <v>202</v>
      </c>
      <c r="M22" s="287">
        <f>HLOOKUP($M$20,$B$14:$F$59,G36,FALSE)</f>
        <v>1.7999999999999998</v>
      </c>
      <c r="N22" s="288"/>
      <c r="O22" s="114"/>
      <c r="P22" s="211"/>
    </row>
    <row r="23" spans="1:32" s="35" customFormat="1" ht="12" x14ac:dyDescent="0.2">
      <c r="A23" s="78" t="s">
        <v>96</v>
      </c>
      <c r="B23" s="380">
        <f>$B$9</f>
        <v>6</v>
      </c>
      <c r="C23" s="380">
        <f>$B$9</f>
        <v>6</v>
      </c>
      <c r="D23" s="380">
        <f>$B$9</f>
        <v>6</v>
      </c>
      <c r="E23" s="380">
        <f>$B$9</f>
        <v>6</v>
      </c>
      <c r="F23" s="381">
        <f>$B$9</f>
        <v>6</v>
      </c>
      <c r="G23" s="268">
        <f t="shared" si="0"/>
        <v>10</v>
      </c>
      <c r="K23" s="279"/>
      <c r="L23" s="114"/>
      <c r="M23" s="114"/>
      <c r="N23" s="283"/>
      <c r="O23" s="114"/>
      <c r="P23" s="211"/>
    </row>
    <row r="24" spans="1:32" s="35" customFormat="1" ht="12" x14ac:dyDescent="0.2">
      <c r="A24" s="78" t="s">
        <v>97</v>
      </c>
      <c r="B24" s="69">
        <f>IF(ISBLANK(B122),0,$B$10)</f>
        <v>0</v>
      </c>
      <c r="C24" s="69">
        <f>IF(ISBLANK(C122),0,$B$10)</f>
        <v>0</v>
      </c>
      <c r="D24" s="69">
        <f>IF(ISBLANK(D122),0,$B$10)</f>
        <v>0</v>
      </c>
      <c r="E24" s="69">
        <f>IF(ISBLANK(E122),0,$B$10)</f>
        <v>18.48</v>
      </c>
      <c r="F24" s="69">
        <f>IF(ISBLANK(F122),0,$B$10)</f>
        <v>0</v>
      </c>
      <c r="G24" s="268">
        <f t="shared" si="0"/>
        <v>11</v>
      </c>
      <c r="K24" s="279"/>
      <c r="L24" s="114" t="s">
        <v>98</v>
      </c>
      <c r="M24" s="291"/>
      <c r="N24" s="290"/>
      <c r="O24" s="114"/>
      <c r="P24" s="211"/>
    </row>
    <row r="25" spans="1:32" s="35" customFormat="1" ht="12" x14ac:dyDescent="0.2">
      <c r="A25" s="78" t="s">
        <v>99</v>
      </c>
      <c r="B25" s="260">
        <f>B21*$B$5+SUM(B23:B24)</f>
        <v>80.400000000000006</v>
      </c>
      <c r="C25" s="260">
        <f>C21*$B$5+SUM(C23:C24)</f>
        <v>95.28</v>
      </c>
      <c r="D25" s="260">
        <f>D21*$B$5+SUM(D23:D24)</f>
        <v>110.16</v>
      </c>
      <c r="E25" s="260">
        <f>E21*$B$5+SUM(E23:E24)</f>
        <v>143.52000000000001</v>
      </c>
      <c r="F25" s="260">
        <f>F21*$B$5+SUM(F23:F24)</f>
        <v>65.52000000000001</v>
      </c>
      <c r="G25" s="268">
        <f t="shared" si="0"/>
        <v>12</v>
      </c>
      <c r="K25" s="279"/>
      <c r="L25" s="114" t="s">
        <v>100</v>
      </c>
      <c r="M25" s="657" t="s">
        <v>203</v>
      </c>
      <c r="N25" s="309" t="s">
        <v>102</v>
      </c>
      <c r="O25" s="657" t="s">
        <v>103</v>
      </c>
      <c r="P25" s="211"/>
    </row>
    <row r="26" spans="1:32" s="35" customFormat="1" ht="12" x14ac:dyDescent="0.2">
      <c r="A26" s="79" t="s">
        <v>104</v>
      </c>
      <c r="B26" s="69">
        <f>-IF(ISBLANK(B121),0,MIN(B$22*$I$10,B$22-$B$7*$I$9))</f>
        <v>-5.4312000000000005</v>
      </c>
      <c r="C26" s="69">
        <f>-IF(ISBLANK(C121),0,MIN(C$22*$I$10,C$22-$B$7*$I$9))</f>
        <v>-6.5174399999999997</v>
      </c>
      <c r="D26" s="69">
        <f>-IF(ISBLANK(D121),0,MIN(D$22*$I$10,D$22-$B$7*$I$9))</f>
        <v>-7.6036799999999989</v>
      </c>
      <c r="E26" s="69">
        <f>-IF(ISBLANK(E121),0,MIN(E$22*$I$10,E$22-$B$7*$I$9))</f>
        <v>0</v>
      </c>
      <c r="F26" s="69">
        <f>-IF(ISBLANK(F121),0,MIN(F$22*$I$10,F$22-$B$7*$I$9))</f>
        <v>0</v>
      </c>
      <c r="G26" s="268">
        <f t="shared" si="0"/>
        <v>13</v>
      </c>
      <c r="K26" s="279"/>
      <c r="L26" s="25"/>
      <c r="M26" s="311">
        <v>1.5</v>
      </c>
      <c r="N26" s="312">
        <v>2.7</v>
      </c>
      <c r="O26" s="310">
        <v>2</v>
      </c>
      <c r="P26" s="211"/>
    </row>
    <row r="27" spans="1:32" s="35" customFormat="1" ht="12" x14ac:dyDescent="0.2">
      <c r="A27" s="78" t="s">
        <v>105</v>
      </c>
      <c r="B27" s="128">
        <f t="shared" ref="B27:C27" si="1">SUM(B25:B26)</f>
        <v>74.968800000000002</v>
      </c>
      <c r="C27" s="128">
        <f t="shared" si="1"/>
        <v>88.762560000000008</v>
      </c>
      <c r="D27" s="128">
        <f t="shared" ref="D27:F27" si="2">SUM(D25:D26)</f>
        <v>102.55632</v>
      </c>
      <c r="E27" s="128">
        <f t="shared" si="2"/>
        <v>143.52000000000001</v>
      </c>
      <c r="F27" s="128">
        <f t="shared" si="2"/>
        <v>65.52000000000001</v>
      </c>
      <c r="G27" s="268">
        <f t="shared" si="0"/>
        <v>14</v>
      </c>
      <c r="K27" s="279"/>
      <c r="L27" s="313" t="s">
        <v>106</v>
      </c>
      <c r="M27" s="311"/>
      <c r="N27" s="312"/>
      <c r="O27" s="310"/>
      <c r="P27" s="211"/>
    </row>
    <row r="28" spans="1:32" s="35" customFormat="1" ht="12" x14ac:dyDescent="0.2">
      <c r="A28" s="79" t="s">
        <v>107</v>
      </c>
      <c r="B28" s="383">
        <f>AVERAGE($E$22:$F$22,B22)</f>
        <v>84.320000000000007</v>
      </c>
      <c r="C28" s="383">
        <f>AVERAGE(F22,$B$22:$C$22)</f>
        <v>74.400000000000006</v>
      </c>
      <c r="D28" s="383">
        <f>AVERAGE($B$22:$D$22)</f>
        <v>89.280000000000015</v>
      </c>
      <c r="E28" s="383">
        <f>AVERAGE($C$22:$E$22)</f>
        <v>104.16000000000001</v>
      </c>
      <c r="F28" s="383" t="s">
        <v>108</v>
      </c>
      <c r="G28" s="268">
        <f t="shared" si="0"/>
        <v>15</v>
      </c>
      <c r="K28" s="279"/>
      <c r="L28" s="292"/>
      <c r="M28" s="290"/>
      <c r="N28" s="290"/>
      <c r="O28" s="114"/>
      <c r="P28" s="211"/>
    </row>
    <row r="29" spans="1:32" s="35" customFormat="1" ht="12" x14ac:dyDescent="0.2">
      <c r="A29" s="126" t="s">
        <v>109</v>
      </c>
      <c r="B29" s="382"/>
      <c r="C29" s="386"/>
      <c r="D29" s="386"/>
      <c r="E29" s="386"/>
      <c r="F29" s="387"/>
      <c r="G29" s="268">
        <f t="shared" si="0"/>
        <v>16</v>
      </c>
      <c r="L29" s="668" t="s">
        <v>110</v>
      </c>
      <c r="M29" s="668"/>
      <c r="N29" s="668"/>
      <c r="O29" s="668"/>
      <c r="P29" s="668"/>
    </row>
    <row r="30" spans="1:32" s="35" customFormat="1" ht="12" x14ac:dyDescent="0.2">
      <c r="A30" s="79" t="s">
        <v>111</v>
      </c>
      <c r="B30" s="69">
        <f>IF(ISBLANK(B121),0,$B$11)</f>
        <v>12</v>
      </c>
      <c r="C30" s="69">
        <f>IF(ISBLANK(C121),0,$B$11)</f>
        <v>12</v>
      </c>
      <c r="D30" s="69">
        <f>IF(ISBLANK(D121),0,$B$11)</f>
        <v>12</v>
      </c>
      <c r="E30" s="69">
        <f>IF(ISBLANK(E121),0,$B$11)</f>
        <v>0</v>
      </c>
      <c r="F30" s="69">
        <f>IF(ISBLANK(F121),0,$B$11)</f>
        <v>12</v>
      </c>
      <c r="G30" s="268">
        <f t="shared" si="0"/>
        <v>17</v>
      </c>
      <c r="L30" s="293" t="s">
        <v>112</v>
      </c>
      <c r="M30" s="293" t="s">
        <v>113</v>
      </c>
      <c r="N30" s="294" t="s">
        <v>114</v>
      </c>
      <c r="O30" s="654" t="s">
        <v>115</v>
      </c>
      <c r="P30" s="654" t="s">
        <v>116</v>
      </c>
    </row>
    <row r="31" spans="1:32" s="35" customFormat="1" x14ac:dyDescent="0.2">
      <c r="A31" s="232" t="s">
        <v>117</v>
      </c>
      <c r="B31" s="118"/>
      <c r="C31" s="119"/>
      <c r="D31" s="119"/>
      <c r="E31" s="119"/>
      <c r="F31" s="120"/>
      <c r="G31" s="268">
        <f t="shared" si="0"/>
        <v>18</v>
      </c>
      <c r="L31" s="306" t="str">
        <f>A49</f>
        <v>Ready Guns Sets</v>
      </c>
      <c r="M31" s="296">
        <v>3</v>
      </c>
      <c r="N31" s="287">
        <f>HLOOKUP($M$20,$B$14:$G$59,G49,FALSE)</f>
        <v>2.1599999999999997</v>
      </c>
      <c r="O31" s="308">
        <f t="shared" ref="O31:O36" si="3">IF(P31&lt;=1,IF(ISERROR(MAX(0,$N31-M31)),0,MAX(0,$N31-M31)),IF(ISERROR(MAX(0,(N31-$M31)/P31)),0,MAX(0,(N31-$M31)/P31)))</f>
        <v>0</v>
      </c>
      <c r="P31" s="315">
        <f t="shared" ref="P31:P36" si="4">N31/$M$22</f>
        <v>1.2</v>
      </c>
    </row>
    <row r="32" spans="1:32" s="25" customFormat="1" ht="12" x14ac:dyDescent="0.2">
      <c r="A32" s="80" t="s">
        <v>118</v>
      </c>
      <c r="B32" s="28">
        <f>MAX(IF(B18&lt;60,0.6,IF(AND(B18&gt;59,B18&lt;90),0.8,IF(B18&gt;90,0.9,0))),MIN(1,B25/MAX($B$25:$E$25)))</f>
        <v>0.6</v>
      </c>
      <c r="C32" s="28">
        <f>MAX(IF(C18&lt;60,0.6,IF(AND(C18&gt;59,C18&lt;90),0.8,IF(C18&gt;90,0.9,0))),MIN(1,C25/MAX($B$25:$E$25)))</f>
        <v>0.66387959866220736</v>
      </c>
      <c r="D32" s="28">
        <f>MAX(IF(D18&lt;60,0.6,IF(AND(D18&gt;59,D18&lt;90),0.8,IF(D18&gt;90,0.9,0))),MIN(1,D25/MAX($B$25:$E$25)))</f>
        <v>0.8</v>
      </c>
      <c r="E32" s="28">
        <f>MAX(IF(E18&lt;60,0.6,IF(AND(E18&gt;59,E18&lt;90),0.8,IF(E18&gt;90,0.9,0))),MIN(1,E25/MAX($B$25:$E$25)))</f>
        <v>1</v>
      </c>
      <c r="F32" s="28">
        <f>MAX(IF(F18&lt;60,0.6,IF(AND(F18&gt;59,F18&lt;90),0.8,IF(F18&gt;90,0.9,0))),MIN(1,F25/MAX($B$25:$E$25)))</f>
        <v>0.6</v>
      </c>
      <c r="G32" s="268">
        <f t="shared" si="0"/>
        <v>19</v>
      </c>
      <c r="L32" s="306" t="str">
        <f>A51</f>
        <v>Ready MK 103 Sets</v>
      </c>
      <c r="M32" s="296">
        <v>2</v>
      </c>
      <c r="N32" s="287">
        <f>HLOOKUP($M$20,$B$14:$G$59,G51,FALSE)</f>
        <v>1.0799999999999998</v>
      </c>
      <c r="O32" s="308">
        <f t="shared" si="3"/>
        <v>0</v>
      </c>
      <c r="P32" s="315">
        <f t="shared" si="4"/>
        <v>0.6</v>
      </c>
      <c r="Q32" s="36"/>
      <c r="R32" s="36"/>
      <c r="S32" s="36"/>
      <c r="T32" s="36"/>
      <c r="U32" s="36"/>
      <c r="V32" s="36"/>
      <c r="W32" s="36"/>
      <c r="X32" s="36"/>
      <c r="Y32" s="36"/>
      <c r="Z32" s="36"/>
      <c r="AA32" s="36"/>
      <c r="AB32" s="36"/>
      <c r="AC32" s="36"/>
      <c r="AD32" s="36"/>
      <c r="AE32" s="36"/>
      <c r="AF32" s="36"/>
    </row>
    <row r="33" spans="1:21" s="25" customFormat="1" ht="12" x14ac:dyDescent="0.2">
      <c r="A33" s="80" t="s">
        <v>119</v>
      </c>
      <c r="B33" s="156">
        <f t="shared" ref="B33:C33" si="5">0.75*B32</f>
        <v>0.44999999999999996</v>
      </c>
      <c r="C33" s="156">
        <f t="shared" si="5"/>
        <v>0.49790969899665549</v>
      </c>
      <c r="D33" s="156">
        <f>0.75*D32</f>
        <v>0.60000000000000009</v>
      </c>
      <c r="E33" s="70">
        <f>0.75*E32</f>
        <v>0.75</v>
      </c>
      <c r="F33" s="70">
        <f t="shared" ref="F33" si="6">0.75*F32</f>
        <v>0.44999999999999996</v>
      </c>
      <c r="G33" s="268">
        <f t="shared" si="0"/>
        <v>20</v>
      </c>
      <c r="L33" s="306" t="str">
        <f>A53</f>
        <v>Ready MK 104 Sets</v>
      </c>
      <c r="M33" s="296">
        <v>1</v>
      </c>
      <c r="N33" s="287">
        <f>HLOOKUP($M$20,$B$14:$G$59,G53,FALSE)</f>
        <v>0</v>
      </c>
      <c r="O33" s="308">
        <f t="shared" si="3"/>
        <v>0</v>
      </c>
      <c r="P33" s="315">
        <f t="shared" si="4"/>
        <v>0</v>
      </c>
    </row>
    <row r="34" spans="1:21" s="25" customFormat="1" ht="12" x14ac:dyDescent="0.2">
      <c r="A34" s="80" t="s">
        <v>120</v>
      </c>
      <c r="B34" s="70">
        <f>((B36*$B$153)/$B$2)</f>
        <v>0.32715591583304582</v>
      </c>
      <c r="C34" s="70">
        <f t="shared" ref="C34:F34" si="7">((C36*$B$153)/$B$2)</f>
        <v>0.36198689683868224</v>
      </c>
      <c r="D34" s="70">
        <f t="shared" si="7"/>
        <v>0.4362078877773945</v>
      </c>
      <c r="E34" s="70">
        <f t="shared" si="7"/>
        <v>0.54525985972174307</v>
      </c>
      <c r="F34" s="70">
        <f t="shared" si="7"/>
        <v>0.45438321643478585</v>
      </c>
      <c r="G34" s="268">
        <f t="shared" si="0"/>
        <v>21</v>
      </c>
      <c r="L34" s="306" t="str">
        <f>A55</f>
        <v>Ready MK 105 Sets</v>
      </c>
      <c r="M34" s="296">
        <v>2</v>
      </c>
      <c r="N34" s="287">
        <f>HLOOKUP($M$20,$B$14:$G$59,G55,FALSE)</f>
        <v>0</v>
      </c>
      <c r="O34" s="308">
        <f t="shared" si="3"/>
        <v>0</v>
      </c>
      <c r="P34" s="315">
        <f t="shared" si="4"/>
        <v>0</v>
      </c>
    </row>
    <row r="35" spans="1:21" s="35" customFormat="1" ht="12" x14ac:dyDescent="0.2">
      <c r="A35" s="78" t="s">
        <v>121</v>
      </c>
      <c r="B35" s="458">
        <f>PRODUCT($B$2,B$32)</f>
        <v>2.4</v>
      </c>
      <c r="C35" s="458">
        <f>PRODUCT($B$2,C$32)</f>
        <v>2.6555183946488294</v>
      </c>
      <c r="D35" s="458">
        <f>PRODUCT($B$2,D$32)</f>
        <v>3.2</v>
      </c>
      <c r="E35" s="451">
        <f>PRODUCT($B$2,E$32)</f>
        <v>4</v>
      </c>
      <c r="F35" s="451">
        <f>PRODUCT($B$2,F$32)</f>
        <v>2.4</v>
      </c>
      <c r="G35" s="268">
        <f t="shared" si="0"/>
        <v>22</v>
      </c>
      <c r="H35" s="25"/>
      <c r="I35" s="25"/>
      <c r="L35" s="306" t="str">
        <f>A57</f>
        <v>Ready Q24 Sets</v>
      </c>
      <c r="M35" s="296">
        <v>2</v>
      </c>
      <c r="N35" s="287">
        <f>HLOOKUP($M$20,$B$14:$G$59,G57,FALSE)</f>
        <v>0.44999999999999996</v>
      </c>
      <c r="O35" s="308">
        <f t="shared" si="3"/>
        <v>0</v>
      </c>
      <c r="P35" s="315">
        <f t="shared" si="4"/>
        <v>0.25</v>
      </c>
    </row>
    <row r="36" spans="1:21" s="35" customFormat="1" ht="12" x14ac:dyDescent="0.2">
      <c r="A36" s="78" t="s">
        <v>122</v>
      </c>
      <c r="B36" s="470">
        <f>$B$2*B$33</f>
        <v>1.7999999999999998</v>
      </c>
      <c r="C36" s="470">
        <f>$B$2*C$33</f>
        <v>1.991638795986622</v>
      </c>
      <c r="D36" s="470">
        <f>$B$2*D$33</f>
        <v>2.4000000000000004</v>
      </c>
      <c r="E36" s="450">
        <f>$B$2*E$33</f>
        <v>3</v>
      </c>
      <c r="F36" s="450">
        <v>2.5</v>
      </c>
      <c r="G36" s="268">
        <f t="shared" si="0"/>
        <v>23</v>
      </c>
      <c r="L36" s="306" t="str">
        <f>A59</f>
        <v>Ready MOP Sets</v>
      </c>
      <c r="M36" s="296">
        <v>1</v>
      </c>
      <c r="N36" s="287">
        <f>HLOOKUP($M$20,$B$14:$G$59,G59,FALSE)</f>
        <v>0</v>
      </c>
      <c r="O36" s="308">
        <f t="shared" si="3"/>
        <v>0</v>
      </c>
      <c r="P36" s="315">
        <f t="shared" si="4"/>
        <v>0</v>
      </c>
    </row>
    <row r="37" spans="1:21" s="35" customFormat="1" ht="12" x14ac:dyDescent="0.2">
      <c r="A37" s="527" t="s">
        <v>123</v>
      </c>
      <c r="B37" s="531">
        <f>B34*$B$2</f>
        <v>1.3086236633321833</v>
      </c>
      <c r="C37" s="531">
        <f>C34*$B$2</f>
        <v>1.4479475873547289</v>
      </c>
      <c r="D37" s="531">
        <f>D34*$B$2</f>
        <v>1.744831551109578</v>
      </c>
      <c r="E37" s="531">
        <f>E34*$B$2</f>
        <v>2.1810394388869723</v>
      </c>
      <c r="F37" s="531">
        <f>F34*$B$2</f>
        <v>1.8175328657391434</v>
      </c>
      <c r="G37" s="268">
        <f t="shared" si="0"/>
        <v>24</v>
      </c>
      <c r="K37" s="295"/>
      <c r="L37" s="295"/>
      <c r="M37" s="280"/>
      <c r="N37" s="280"/>
      <c r="O37" s="114"/>
      <c r="P37" s="211"/>
    </row>
    <row r="38" spans="1:21" s="35" customFormat="1" x14ac:dyDescent="0.2">
      <c r="A38" s="232" t="s">
        <v>124</v>
      </c>
      <c r="B38" s="118"/>
      <c r="C38" s="119"/>
      <c r="D38" s="119"/>
      <c r="E38" s="119"/>
      <c r="F38" s="120"/>
      <c r="G38" s="268">
        <f t="shared" si="0"/>
        <v>25</v>
      </c>
      <c r="L38" s="25"/>
      <c r="M38" s="25"/>
      <c r="N38" s="25"/>
      <c r="O38" s="25"/>
      <c r="P38" s="211"/>
    </row>
    <row r="39" spans="1:21" s="35" customFormat="1" ht="12" x14ac:dyDescent="0.2">
      <c r="A39" s="446" t="s">
        <v>125</v>
      </c>
      <c r="B39" s="455">
        <f>B$36*$B154</f>
        <v>0.84437737150741643</v>
      </c>
      <c r="C39" s="455">
        <f t="shared" ref="C39:F39" si="8">C$36*$B154</f>
        <v>0.93427485085965534</v>
      </c>
      <c r="D39" s="455">
        <f t="shared" si="8"/>
        <v>1.1258364953432223</v>
      </c>
      <c r="E39" s="455">
        <f t="shared" si="8"/>
        <v>1.4072956191790276</v>
      </c>
      <c r="F39" s="455">
        <f t="shared" si="8"/>
        <v>1.1727463493158563</v>
      </c>
      <c r="G39" s="268">
        <f t="shared" si="0"/>
        <v>26</v>
      </c>
      <c r="L39" s="25"/>
      <c r="M39" s="25"/>
      <c r="N39" s="25"/>
      <c r="O39" s="25"/>
      <c r="P39" s="211"/>
    </row>
    <row r="40" spans="1:21" s="35" customFormat="1" ht="12" x14ac:dyDescent="0.2">
      <c r="A40" s="446" t="s">
        <v>126</v>
      </c>
      <c r="B40" s="455">
        <f t="shared" ref="B40:F40" si="9">B$36*$B155</f>
        <v>0.82388754743014847</v>
      </c>
      <c r="C40" s="455">
        <f t="shared" si="9"/>
        <v>0.91160355721786224</v>
      </c>
      <c r="D40" s="455">
        <f t="shared" si="9"/>
        <v>1.098516729906865</v>
      </c>
      <c r="E40" s="455">
        <f t="shared" si="9"/>
        <v>1.373145912383581</v>
      </c>
      <c r="F40" s="455">
        <f t="shared" si="9"/>
        <v>1.1442882603196507</v>
      </c>
      <c r="G40" s="268">
        <f t="shared" si="0"/>
        <v>27</v>
      </c>
      <c r="L40" s="25"/>
      <c r="M40" s="25"/>
      <c r="N40" s="25"/>
      <c r="O40" s="25"/>
      <c r="P40" s="211"/>
    </row>
    <row r="41" spans="1:21" s="36" customFormat="1" ht="12" x14ac:dyDescent="0.2">
      <c r="A41" s="446" t="s">
        <v>127</v>
      </c>
      <c r="B41" s="455">
        <f t="shared" ref="B41:F41" si="10">B$36*$B156</f>
        <v>1.0526905829596411</v>
      </c>
      <c r="C41" s="455">
        <f t="shared" si="10"/>
        <v>1.1647663362178862</v>
      </c>
      <c r="D41" s="455">
        <f t="shared" si="10"/>
        <v>1.4035874439461886</v>
      </c>
      <c r="E41" s="455">
        <f t="shared" si="10"/>
        <v>1.7544843049327354</v>
      </c>
      <c r="F41" s="455">
        <f t="shared" si="10"/>
        <v>1.4620702541106128</v>
      </c>
      <c r="G41" s="268">
        <f t="shared" si="0"/>
        <v>28</v>
      </c>
      <c r="H41" s="35"/>
      <c r="I41" s="35"/>
      <c r="J41" s="445"/>
      <c r="L41" s="25"/>
      <c r="M41" s="25"/>
      <c r="N41" s="25"/>
      <c r="O41" s="25"/>
      <c r="P41" s="211"/>
    </row>
    <row r="42" spans="1:21" s="36" customFormat="1" ht="12" x14ac:dyDescent="0.2">
      <c r="A42" s="509" t="s">
        <v>128</v>
      </c>
      <c r="B42" s="455">
        <f t="shared" ref="B42:F42" si="11">B$36*$B157</f>
        <v>0</v>
      </c>
      <c r="C42" s="455">
        <f t="shared" si="11"/>
        <v>0</v>
      </c>
      <c r="D42" s="455">
        <f t="shared" si="11"/>
        <v>0</v>
      </c>
      <c r="E42" s="455">
        <f t="shared" si="11"/>
        <v>0</v>
      </c>
      <c r="F42" s="455">
        <f t="shared" si="11"/>
        <v>0</v>
      </c>
      <c r="G42" s="268">
        <f t="shared" si="0"/>
        <v>29</v>
      </c>
      <c r="H42" s="35"/>
      <c r="I42" s="35"/>
      <c r="J42" s="445"/>
      <c r="L42" s="25"/>
      <c r="M42" s="25"/>
      <c r="N42" s="25"/>
      <c r="O42" s="25"/>
      <c r="P42" s="211"/>
    </row>
    <row r="43" spans="1:21" s="36" customFormat="1" ht="12" x14ac:dyDescent="0.2">
      <c r="A43" s="446" t="s">
        <v>129</v>
      </c>
      <c r="B43" s="455">
        <f t="shared" ref="B43:F43" si="12">B$36*$B158</f>
        <v>0</v>
      </c>
      <c r="C43" s="455">
        <f t="shared" si="12"/>
        <v>0</v>
      </c>
      <c r="D43" s="455">
        <f t="shared" si="12"/>
        <v>0</v>
      </c>
      <c r="E43" s="455">
        <f t="shared" si="12"/>
        <v>0</v>
      </c>
      <c r="F43" s="455">
        <f t="shared" si="12"/>
        <v>0</v>
      </c>
      <c r="G43" s="268">
        <f t="shared" si="0"/>
        <v>30</v>
      </c>
      <c r="J43" s="445"/>
      <c r="L43" s="25"/>
      <c r="M43" s="25"/>
      <c r="N43" s="25"/>
      <c r="O43" s="25"/>
      <c r="P43" s="211"/>
    </row>
    <row r="44" spans="1:21" s="25" customFormat="1" ht="12" x14ac:dyDescent="0.2">
      <c r="A44" s="446" t="s">
        <v>130</v>
      </c>
      <c r="B44" s="455">
        <f t="shared" ref="B44:F46" si="13">B$36*$B159</f>
        <v>0.8449465332873406</v>
      </c>
      <c r="C44" s="455">
        <f t="shared" si="13"/>
        <v>0.93490460901637196</v>
      </c>
      <c r="D44" s="455">
        <f t="shared" si="13"/>
        <v>1.1265953777164546</v>
      </c>
      <c r="E44" s="455">
        <f t="shared" si="13"/>
        <v>1.408244222145568</v>
      </c>
      <c r="F44" s="455">
        <f t="shared" si="13"/>
        <v>1.1735368517879732</v>
      </c>
      <c r="G44" s="268">
        <f t="shared" si="0"/>
        <v>31</v>
      </c>
      <c r="H44" s="36"/>
      <c r="I44" s="36"/>
      <c r="J44" s="211"/>
      <c r="P44" s="211"/>
      <c r="Q44" s="211"/>
      <c r="R44" s="211"/>
      <c r="S44" s="211"/>
      <c r="T44" s="211"/>
      <c r="U44" s="211"/>
    </row>
    <row r="45" spans="1:21" s="36" customFormat="1" ht="12" x14ac:dyDescent="0.2">
      <c r="A45" s="446" t="s">
        <v>131</v>
      </c>
      <c r="B45" s="455">
        <f>IF(B$13="Deploy",B$36,B$36*$B160)</f>
        <v>1.0731804070369093</v>
      </c>
      <c r="C45" s="455">
        <f t="shared" ref="C45:F45" si="14">IF(C$13="Deploy",C$36,C$36*$B160)</f>
        <v>1.1874376298596796</v>
      </c>
      <c r="D45" s="455">
        <f t="shared" si="14"/>
        <v>1.4309072093825461</v>
      </c>
      <c r="E45" s="455">
        <f t="shared" si="14"/>
        <v>3</v>
      </c>
      <c r="F45" s="455">
        <f t="shared" si="14"/>
        <v>1.4905283431068186</v>
      </c>
      <c r="G45" s="268">
        <f t="shared" si="0"/>
        <v>32</v>
      </c>
      <c r="J45" s="445"/>
      <c r="P45" s="211"/>
    </row>
    <row r="46" spans="1:21" s="36" customFormat="1" x14ac:dyDescent="0.2">
      <c r="A46" s="510" t="s">
        <v>132</v>
      </c>
      <c r="B46" s="455">
        <f t="shared" si="13"/>
        <v>1.7999999999999998</v>
      </c>
      <c r="C46" s="455">
        <f t="shared" si="13"/>
        <v>1.991638795986622</v>
      </c>
      <c r="D46" s="455">
        <f t="shared" si="13"/>
        <v>2.4000000000000004</v>
      </c>
      <c r="E46" s="455">
        <f t="shared" si="13"/>
        <v>3</v>
      </c>
      <c r="F46" s="455">
        <f t="shared" si="13"/>
        <v>2.5</v>
      </c>
      <c r="G46" s="268">
        <f t="shared" si="0"/>
        <v>33</v>
      </c>
      <c r="H46" s="211"/>
      <c r="I46" s="25"/>
      <c r="J46" s="445"/>
      <c r="P46" s="211"/>
    </row>
    <row r="47" spans="1:21" s="35" customFormat="1" ht="12" x14ac:dyDescent="0.2">
      <c r="A47" s="121" t="s">
        <v>133</v>
      </c>
      <c r="B47" s="452"/>
      <c r="C47" s="453"/>
      <c r="D47" s="453"/>
      <c r="E47" s="453"/>
      <c r="F47" s="454"/>
      <c r="G47" s="268">
        <f t="shared" si="0"/>
        <v>34</v>
      </c>
      <c r="H47" s="36"/>
      <c r="I47" s="36"/>
      <c r="J47" s="445"/>
      <c r="K47" s="299"/>
      <c r="L47" s="298"/>
      <c r="M47" s="299"/>
      <c r="N47" s="299"/>
      <c r="O47" s="81"/>
      <c r="P47" s="211"/>
    </row>
    <row r="48" spans="1:21" s="25" customFormat="1" ht="12" x14ac:dyDescent="0.2">
      <c r="A48" s="147" t="s">
        <v>134</v>
      </c>
      <c r="B48" s="456">
        <f t="shared" ref="B48:C48" si="15">B$35*2</f>
        <v>4.8</v>
      </c>
      <c r="C48" s="456">
        <f t="shared" si="15"/>
        <v>5.3110367892976589</v>
      </c>
      <c r="D48" s="456">
        <f>D$35*2</f>
        <v>6.4</v>
      </c>
      <c r="E48" s="465">
        <f>E$35*2</f>
        <v>8</v>
      </c>
      <c r="F48" s="456">
        <f>F$35*2</f>
        <v>4.8</v>
      </c>
      <c r="G48" s="268">
        <f t="shared" si="0"/>
        <v>35</v>
      </c>
      <c r="H48" s="36"/>
      <c r="I48" s="36"/>
      <c r="J48" s="445"/>
      <c r="K48" s="299"/>
      <c r="L48" s="299"/>
      <c r="M48" s="299"/>
      <c r="N48" s="299"/>
      <c r="O48" s="299"/>
      <c r="P48" s="211"/>
    </row>
    <row r="49" spans="1:16" s="35" customFormat="1" ht="12" x14ac:dyDescent="0.2">
      <c r="A49" s="42" t="s">
        <v>135</v>
      </c>
      <c r="B49" s="458">
        <f t="shared" ref="B49:C49" si="16">B48*B$33</f>
        <v>2.1599999999999997</v>
      </c>
      <c r="C49" s="458">
        <f t="shared" si="16"/>
        <v>2.644416729119361</v>
      </c>
      <c r="D49" s="458">
        <f>D48*D$33</f>
        <v>3.8400000000000007</v>
      </c>
      <c r="E49" s="466">
        <f>E48*E$33</f>
        <v>6</v>
      </c>
      <c r="F49" s="458">
        <f>F48*F$33</f>
        <v>2.1599999999999997</v>
      </c>
      <c r="G49" s="268">
        <f t="shared" si="0"/>
        <v>36</v>
      </c>
      <c r="J49" s="36"/>
      <c r="K49" s="299"/>
      <c r="L49" s="669"/>
      <c r="M49" s="669"/>
      <c r="N49" s="655"/>
      <c r="O49" s="299"/>
      <c r="P49" s="211"/>
    </row>
    <row r="50" spans="1:16" s="35" customFormat="1" ht="12" x14ac:dyDescent="0.2">
      <c r="A50" s="147" t="s">
        <v>136</v>
      </c>
      <c r="B50" s="457">
        <f t="shared" ref="B50:C50" si="17">B$35*1</f>
        <v>2.4</v>
      </c>
      <c r="C50" s="457">
        <f t="shared" si="17"/>
        <v>2.6555183946488294</v>
      </c>
      <c r="D50" s="457">
        <f>D$35*1</f>
        <v>3.2</v>
      </c>
      <c r="E50" s="467">
        <f>E$35*1</f>
        <v>4</v>
      </c>
      <c r="F50" s="457">
        <f>F$35*1</f>
        <v>2.4</v>
      </c>
      <c r="G50" s="268">
        <f t="shared" si="0"/>
        <v>37</v>
      </c>
      <c r="H50" s="25"/>
      <c r="I50" s="25"/>
      <c r="K50" s="299"/>
      <c r="L50" s="295"/>
      <c r="M50" s="280"/>
      <c r="N50" s="280"/>
      <c r="O50" s="299"/>
      <c r="P50" s="211"/>
    </row>
    <row r="51" spans="1:16" s="35" customFormat="1" ht="12" x14ac:dyDescent="0.2">
      <c r="A51" s="42" t="s">
        <v>137</v>
      </c>
      <c r="B51" s="458">
        <f t="shared" ref="B51:C51" si="18">B50*B$33</f>
        <v>1.0799999999999998</v>
      </c>
      <c r="C51" s="458">
        <f t="shared" si="18"/>
        <v>1.3222083645596805</v>
      </c>
      <c r="D51" s="458">
        <f>D50*D$33</f>
        <v>1.9200000000000004</v>
      </c>
      <c r="E51" s="466">
        <f>E50*E$33</f>
        <v>3</v>
      </c>
      <c r="F51" s="458">
        <f>F50*F$33</f>
        <v>1.0799999999999998</v>
      </c>
      <c r="G51" s="268">
        <f t="shared" si="0"/>
        <v>38</v>
      </c>
      <c r="H51" s="223"/>
      <c r="K51" s="299"/>
      <c r="L51" s="300"/>
      <c r="M51" s="280"/>
      <c r="N51" s="280"/>
      <c r="O51" s="299"/>
      <c r="P51" s="211"/>
    </row>
    <row r="52" spans="1:16" s="35" customFormat="1" ht="12" x14ac:dyDescent="0.2">
      <c r="A52" s="147" t="s">
        <v>138</v>
      </c>
      <c r="B52" s="457">
        <v>0</v>
      </c>
      <c r="C52" s="457">
        <v>1</v>
      </c>
      <c r="D52" s="457">
        <v>2</v>
      </c>
      <c r="E52" s="467">
        <f>E$35*1</f>
        <v>4</v>
      </c>
      <c r="F52" s="457">
        <f>F$35*1</f>
        <v>2.4</v>
      </c>
      <c r="G52" s="268">
        <f t="shared" si="0"/>
        <v>39</v>
      </c>
      <c r="H52" s="302"/>
      <c r="K52" s="295"/>
      <c r="L52" s="295"/>
      <c r="M52" s="280"/>
      <c r="N52" s="280"/>
      <c r="O52" s="299"/>
      <c r="P52" s="211"/>
    </row>
    <row r="53" spans="1:16" s="35" customFormat="1" ht="12" x14ac:dyDescent="0.2">
      <c r="A53" s="42" t="s">
        <v>139</v>
      </c>
      <c r="B53" s="458">
        <f t="shared" ref="B53:C53" si="19">B52*B$33</f>
        <v>0</v>
      </c>
      <c r="C53" s="458">
        <f t="shared" si="19"/>
        <v>0.49790969899665549</v>
      </c>
      <c r="D53" s="458">
        <f>D52*D$33</f>
        <v>1.2000000000000002</v>
      </c>
      <c r="E53" s="466">
        <f>E52*E$33</f>
        <v>3</v>
      </c>
      <c r="F53" s="458">
        <f>F52*F$33</f>
        <v>1.0799999999999998</v>
      </c>
      <c r="G53" s="268">
        <f t="shared" si="0"/>
        <v>40</v>
      </c>
      <c r="H53" s="223"/>
      <c r="I53" s="211"/>
      <c r="K53" s="295"/>
      <c r="L53" s="300"/>
      <c r="M53" s="280"/>
      <c r="N53" s="280"/>
      <c r="O53" s="299"/>
      <c r="P53" s="211"/>
    </row>
    <row r="54" spans="1:16" s="35" customFormat="1" ht="12" x14ac:dyDescent="0.2">
      <c r="A54" s="147" t="s">
        <v>140</v>
      </c>
      <c r="B54" s="457">
        <v>0</v>
      </c>
      <c r="C54" s="457">
        <v>0</v>
      </c>
      <c r="D54" s="457">
        <v>1</v>
      </c>
      <c r="E54" s="467">
        <f>E$35*0.5</f>
        <v>2</v>
      </c>
      <c r="F54" s="457">
        <f>F$35*0.5</f>
        <v>1.2</v>
      </c>
      <c r="G54" s="268">
        <f t="shared" si="0"/>
        <v>41</v>
      </c>
      <c r="H54" s="302"/>
      <c r="K54" s="295"/>
      <c r="L54" s="295"/>
      <c r="M54" s="280"/>
      <c r="N54" s="280"/>
      <c r="O54" s="299"/>
      <c r="P54" s="211"/>
    </row>
    <row r="55" spans="1:16" s="35" customFormat="1" ht="12" x14ac:dyDescent="0.2">
      <c r="A55" s="42" t="s">
        <v>141</v>
      </c>
      <c r="B55" s="458">
        <f t="shared" ref="B55:C55" si="20">B54*B$33</f>
        <v>0</v>
      </c>
      <c r="C55" s="458">
        <f t="shared" si="20"/>
        <v>0</v>
      </c>
      <c r="D55" s="458">
        <f>D54*D$33</f>
        <v>0.60000000000000009</v>
      </c>
      <c r="E55" s="466">
        <v>1.5</v>
      </c>
      <c r="F55" s="458">
        <f>F54*F$33</f>
        <v>0.53999999999999992</v>
      </c>
      <c r="G55" s="268">
        <f t="shared" si="0"/>
        <v>42</v>
      </c>
      <c r="H55" s="302"/>
      <c r="I55" s="211"/>
      <c r="K55" s="295"/>
      <c r="L55" s="300"/>
      <c r="M55" s="280"/>
      <c r="N55" s="280"/>
      <c r="O55" s="299"/>
      <c r="P55" s="211"/>
    </row>
    <row r="56" spans="1:16" s="35" customFormat="1" ht="12" x14ac:dyDescent="0.2">
      <c r="A56" s="147" t="s">
        <v>142</v>
      </c>
      <c r="B56" s="457">
        <v>1</v>
      </c>
      <c r="C56" s="457">
        <v>2</v>
      </c>
      <c r="D56" s="457">
        <v>3</v>
      </c>
      <c r="E56" s="467">
        <f>E$35*1</f>
        <v>4</v>
      </c>
      <c r="F56" s="457">
        <f>F$35*1</f>
        <v>2.4</v>
      </c>
      <c r="G56" s="268">
        <f t="shared" si="0"/>
        <v>43</v>
      </c>
      <c r="H56" s="302"/>
      <c r="J56" s="59"/>
      <c r="K56" s="295"/>
      <c r="L56" s="295"/>
      <c r="M56" s="280"/>
      <c r="N56" s="280"/>
      <c r="O56" s="299"/>
      <c r="P56" s="211"/>
    </row>
    <row r="57" spans="1:16" s="35" customFormat="1" ht="12" x14ac:dyDescent="0.2">
      <c r="A57" s="42" t="s">
        <v>143</v>
      </c>
      <c r="B57" s="458">
        <f t="shared" ref="B57:C57" si="21">B56*B$33</f>
        <v>0.44999999999999996</v>
      </c>
      <c r="C57" s="458">
        <f t="shared" si="21"/>
        <v>0.99581939799331098</v>
      </c>
      <c r="D57" s="458">
        <f>D56*D$33</f>
        <v>1.8000000000000003</v>
      </c>
      <c r="E57" s="466">
        <f>E56*E$33</f>
        <v>3</v>
      </c>
      <c r="F57" s="458">
        <f>F56*F$33</f>
        <v>1.0799999999999998</v>
      </c>
      <c r="G57" s="268">
        <f t="shared" si="0"/>
        <v>44</v>
      </c>
      <c r="H57" s="305"/>
      <c r="I57" s="211"/>
      <c r="J57" s="57"/>
      <c r="K57" s="295"/>
      <c r="L57" s="300"/>
      <c r="M57" s="280"/>
      <c r="N57" s="280"/>
      <c r="O57" s="299"/>
      <c r="P57" s="211"/>
    </row>
    <row r="58" spans="1:16" s="35" customFormat="1" ht="12" x14ac:dyDescent="0.2">
      <c r="A58" s="147" t="s">
        <v>144</v>
      </c>
      <c r="B58" s="457">
        <v>0</v>
      </c>
      <c r="C58" s="457">
        <v>1</v>
      </c>
      <c r="D58" s="457">
        <v>2</v>
      </c>
      <c r="E58" s="467">
        <f>E$35*1</f>
        <v>4</v>
      </c>
      <c r="F58" s="457">
        <f>F$35*1</f>
        <v>2.4</v>
      </c>
      <c r="G58" s="268">
        <f t="shared" si="0"/>
        <v>45</v>
      </c>
      <c r="H58" s="302"/>
      <c r="I58" s="58"/>
      <c r="J58" s="57"/>
      <c r="K58" s="295"/>
      <c r="L58" s="295"/>
      <c r="M58" s="280"/>
      <c r="N58" s="280"/>
      <c r="O58" s="299"/>
      <c r="P58" s="211"/>
    </row>
    <row r="59" spans="1:16" s="25" customFormat="1" ht="12" x14ac:dyDescent="0.2">
      <c r="A59" s="42" t="s">
        <v>145</v>
      </c>
      <c r="B59" s="468">
        <f t="shared" ref="B59:C59" si="22">B58*B$33</f>
        <v>0</v>
      </c>
      <c r="C59" s="468">
        <f t="shared" si="22"/>
        <v>0.49790969899665549</v>
      </c>
      <c r="D59" s="468">
        <f>D58*D$33</f>
        <v>1.2000000000000002</v>
      </c>
      <c r="E59" s="469">
        <f>E58*E$33</f>
        <v>3</v>
      </c>
      <c r="F59" s="468">
        <f>F58*F$33</f>
        <v>1.0799999999999998</v>
      </c>
      <c r="G59" s="268">
        <f t="shared" si="0"/>
        <v>46</v>
      </c>
      <c r="H59" s="21"/>
      <c r="I59" s="211"/>
      <c r="J59" s="22"/>
      <c r="K59" s="295"/>
      <c r="L59" s="300"/>
      <c r="M59" s="280"/>
      <c r="N59" s="280"/>
      <c r="O59" s="299"/>
      <c r="P59" s="211"/>
    </row>
    <row r="60" spans="1:16" s="25" customFormat="1" x14ac:dyDescent="0.2">
      <c r="A60" s="232" t="s">
        <v>146</v>
      </c>
      <c r="B60" s="118"/>
      <c r="C60" s="119"/>
      <c r="D60" s="119"/>
      <c r="E60" s="119"/>
      <c r="F60" s="120"/>
      <c r="G60" s="21"/>
      <c r="H60" s="22"/>
      <c r="I60" s="56"/>
      <c r="J60" s="26"/>
      <c r="K60" s="295"/>
      <c r="L60" s="295"/>
      <c r="M60" s="280"/>
      <c r="N60" s="280"/>
      <c r="O60" s="299"/>
      <c r="P60" s="211"/>
    </row>
    <row r="61" spans="1:16" s="25" customFormat="1" ht="12" x14ac:dyDescent="0.2">
      <c r="A61" s="1" t="str">
        <f>A104</f>
        <v>Pilot Upper Limit</v>
      </c>
      <c r="B61" s="2">
        <f>$B$104</f>
        <v>12</v>
      </c>
      <c r="C61" s="2">
        <f>$B$104</f>
        <v>12</v>
      </c>
      <c r="D61" s="2">
        <f>$B$104</f>
        <v>12</v>
      </c>
      <c r="E61" s="2">
        <f>$B$104</f>
        <v>12</v>
      </c>
      <c r="F61" s="2">
        <f>$B$104</f>
        <v>12</v>
      </c>
      <c r="G61" s="22"/>
      <c r="H61" s="22"/>
      <c r="I61" s="211"/>
      <c r="K61" s="295"/>
      <c r="L61" s="300"/>
      <c r="M61" s="280"/>
      <c r="N61" s="280"/>
      <c r="O61" s="299"/>
      <c r="P61" s="211"/>
    </row>
    <row r="62" spans="1:16" s="25" customFormat="1" ht="12" x14ac:dyDescent="0.2">
      <c r="A62" s="3" t="str">
        <f t="shared" ref="A62:A74" si="23">A105</f>
        <v>Pilot Lower Limit</v>
      </c>
      <c r="B62" s="27">
        <f>ROUNDUP(IF(B$13="Deploy",MAX((B$98/100)*$B104,$B104),(B$98/100)*$B104),0)</f>
        <v>1</v>
      </c>
      <c r="C62" s="27">
        <f>ROUNDUP(IF(C$13="Deploy",MAX((C$98/100)*$B104,$B104),(C$98/100)*$B104),0)</f>
        <v>3</v>
      </c>
      <c r="D62" s="27">
        <f>ROUNDUP(IF(D$13="Deploy",MAX((D$98/100)*$B104,$B104),(D$98/100)*$B104),0)</f>
        <v>10</v>
      </c>
      <c r="E62" s="27">
        <f>ROUNDUP(IF(E$13="Deploy",MAX((E$98/100)*$B104,$B104),(E$98/100)*$B104),0)</f>
        <v>12</v>
      </c>
      <c r="F62" s="27">
        <f>ROUNDUP(IF(F$13="Deploy",MAX((F$98/100)*$B104,$B104),(F$98/100)*$B104),0)</f>
        <v>5</v>
      </c>
      <c r="G62" s="22"/>
      <c r="H62" s="22"/>
      <c r="I62" s="26"/>
      <c r="J62" s="26"/>
      <c r="K62" s="295"/>
      <c r="L62" s="655"/>
      <c r="M62" s="655"/>
      <c r="N62" s="655"/>
      <c r="O62" s="299"/>
      <c r="P62" s="211"/>
    </row>
    <row r="63" spans="1:16" s="25" customFormat="1" ht="12" x14ac:dyDescent="0.2">
      <c r="A63" s="1" t="str">
        <f t="shared" si="23"/>
        <v>Aircrew Upper Limit</v>
      </c>
      <c r="B63" s="4">
        <f>$B$106</f>
        <v>28</v>
      </c>
      <c r="C63" s="4">
        <f>$B$106</f>
        <v>28</v>
      </c>
      <c r="D63" s="4">
        <f>$B$106</f>
        <v>28</v>
      </c>
      <c r="E63" s="4">
        <f>$B$106</f>
        <v>28</v>
      </c>
      <c r="F63" s="4">
        <f>$B$106</f>
        <v>28</v>
      </c>
      <c r="G63" s="22"/>
      <c r="H63" s="22"/>
      <c r="I63" s="211"/>
      <c r="J63" s="26"/>
      <c r="K63" s="299"/>
      <c r="L63" s="280"/>
      <c r="M63" s="280"/>
      <c r="N63" s="280"/>
      <c r="O63" s="299"/>
      <c r="P63" s="211"/>
    </row>
    <row r="64" spans="1:16" s="25" customFormat="1" ht="12" x14ac:dyDescent="0.2">
      <c r="A64" s="3" t="str">
        <f t="shared" si="23"/>
        <v>Aircrew Lower Limit</v>
      </c>
      <c r="B64" s="27">
        <f>ROUNDUP(IF(B$13="Deploy",MAX((B$98/100)*$B106,$B106),(B$98/100)*$B106),0)</f>
        <v>2</v>
      </c>
      <c r="C64" s="27">
        <f>ROUNDUP(IF(C$13="Deploy",MAX((C$98/100)*$B106,$B106),(C$98/100)*$B106),0)</f>
        <v>6</v>
      </c>
      <c r="D64" s="27">
        <f>ROUNDUP(IF(D$13="Deploy",MAX((D$98/100)*$B106,$B106),(D$98/100)*$B106),0)</f>
        <v>23</v>
      </c>
      <c r="E64" s="27">
        <f>ROUNDUP(IF(E$13="Deploy",MAX((E$98/100)*$B106,$B106),(E$98/100)*$B106),0)</f>
        <v>28</v>
      </c>
      <c r="F64" s="27">
        <f>ROUNDUP(IF(F$13="Deploy",MAX((F$98/100)*$B106,$B106),(F$98/100)*$B106),0)</f>
        <v>11</v>
      </c>
      <c r="G64" s="22"/>
      <c r="H64" s="22"/>
      <c r="I64" s="26"/>
      <c r="J64" s="26"/>
      <c r="K64" s="299"/>
      <c r="L64" s="299"/>
      <c r="M64" s="299"/>
      <c r="N64" s="299"/>
      <c r="O64" s="299"/>
      <c r="P64" s="211"/>
    </row>
    <row r="65" spans="1:17" s="25" customFormat="1" ht="12" x14ac:dyDescent="0.2">
      <c r="A65" s="3" t="str">
        <f t="shared" si="23"/>
        <v>&gt;= ACTC LEVEL 3 PILOT - MIW</v>
      </c>
      <c r="B65" s="27">
        <f t="shared" ref="B65:F75" si="24">ROUNDUP(IF(B$13="Deploy",MAX((B$98/100)*$B108,$B108),(B$98/100)*$B108),0)</f>
        <v>1</v>
      </c>
      <c r="C65" s="27">
        <f t="shared" si="24"/>
        <v>1</v>
      </c>
      <c r="D65" s="27">
        <f t="shared" si="24"/>
        <v>4</v>
      </c>
      <c r="E65" s="27">
        <f t="shared" si="24"/>
        <v>5</v>
      </c>
      <c r="F65" s="27">
        <f t="shared" si="24"/>
        <v>2</v>
      </c>
      <c r="G65" s="22"/>
      <c r="H65" s="22"/>
      <c r="I65" s="26"/>
      <c r="J65" s="26"/>
      <c r="K65" s="81"/>
      <c r="L65" s="299"/>
      <c r="M65" s="280"/>
      <c r="N65" s="280"/>
      <c r="O65" s="299"/>
      <c r="P65" s="211"/>
    </row>
    <row r="66" spans="1:17" s="25" customFormat="1" ht="12" x14ac:dyDescent="0.2">
      <c r="A66" s="3" t="str">
        <f t="shared" si="23"/>
        <v>&gt;= ACTC LEVEL 3 PILOT - MOB/LOG</v>
      </c>
      <c r="B66" s="27">
        <f t="shared" si="24"/>
        <v>1</v>
      </c>
      <c r="C66" s="27">
        <f t="shared" si="24"/>
        <v>1</v>
      </c>
      <c r="D66" s="27">
        <f t="shared" si="24"/>
        <v>4</v>
      </c>
      <c r="E66" s="27">
        <f t="shared" si="24"/>
        <v>5</v>
      </c>
      <c r="F66" s="27">
        <f t="shared" si="24"/>
        <v>2</v>
      </c>
      <c r="G66" s="22"/>
      <c r="H66" s="22"/>
      <c r="I66" s="26"/>
      <c r="J66" s="26"/>
      <c r="K66" s="299"/>
      <c r="L66" s="299"/>
      <c r="M66" s="299"/>
      <c r="N66" s="299"/>
      <c r="O66" s="299"/>
      <c r="P66" s="211"/>
    </row>
    <row r="67" spans="1:17" s="25" customFormat="1" ht="12" x14ac:dyDescent="0.2">
      <c r="A67" s="3" t="str">
        <f t="shared" si="23"/>
        <v>&gt;= ACTC LEVEL 3 NAC - MIW</v>
      </c>
      <c r="B67" s="27">
        <f t="shared" si="24"/>
        <v>1</v>
      </c>
      <c r="C67" s="27">
        <f t="shared" si="24"/>
        <v>1</v>
      </c>
      <c r="D67" s="27">
        <f t="shared" si="24"/>
        <v>4</v>
      </c>
      <c r="E67" s="27">
        <f t="shared" si="24"/>
        <v>5</v>
      </c>
      <c r="F67" s="27">
        <f t="shared" si="24"/>
        <v>2</v>
      </c>
      <c r="G67" s="22"/>
      <c r="H67" s="22"/>
      <c r="I67" s="26"/>
      <c r="J67" s="26"/>
      <c r="K67" s="295"/>
      <c r="L67" s="300"/>
      <c r="M67" s="280"/>
      <c r="N67" s="280"/>
      <c r="O67" s="299"/>
      <c r="P67" s="211"/>
    </row>
    <row r="68" spans="1:17" s="25" customFormat="1" ht="12" x14ac:dyDescent="0.2">
      <c r="A68" s="3" t="str">
        <f t="shared" si="23"/>
        <v>&gt;= ACTC LEVEL 3 NAC - MOB/LOG</v>
      </c>
      <c r="B68" s="27">
        <f t="shared" si="24"/>
        <v>1</v>
      </c>
      <c r="C68" s="27">
        <f t="shared" si="24"/>
        <v>1</v>
      </c>
      <c r="D68" s="27">
        <f t="shared" si="24"/>
        <v>4</v>
      </c>
      <c r="E68" s="27">
        <f t="shared" si="24"/>
        <v>5</v>
      </c>
      <c r="F68" s="27">
        <f t="shared" si="24"/>
        <v>2</v>
      </c>
      <c r="G68" s="22"/>
      <c r="H68" s="22"/>
      <c r="I68" s="26"/>
      <c r="J68" s="26"/>
      <c r="K68" s="299"/>
      <c r="L68" s="300"/>
      <c r="M68" s="280"/>
      <c r="N68" s="280"/>
      <c r="O68" s="299"/>
      <c r="P68" s="211"/>
    </row>
    <row r="69" spans="1:17" s="25" customFormat="1" x14ac:dyDescent="0.2">
      <c r="A69" s="3" t="str">
        <f t="shared" si="23"/>
        <v>&gt;= ACTC LEVEL 2 PILOT</v>
      </c>
      <c r="B69" s="27">
        <f t="shared" si="24"/>
        <v>1</v>
      </c>
      <c r="C69" s="27">
        <f t="shared" si="24"/>
        <v>1</v>
      </c>
      <c r="D69" s="27">
        <f t="shared" si="24"/>
        <v>4</v>
      </c>
      <c r="E69" s="27">
        <f t="shared" si="24"/>
        <v>5</v>
      </c>
      <c r="F69" s="27">
        <f t="shared" si="24"/>
        <v>2</v>
      </c>
      <c r="G69" s="22"/>
      <c r="H69" s="22"/>
      <c r="I69" s="26"/>
      <c r="J69" s="26"/>
      <c r="K69" s="299"/>
      <c r="L69" s="299"/>
      <c r="M69" s="280"/>
      <c r="N69" s="114"/>
      <c r="O69" s="105"/>
      <c r="P69" s="211"/>
    </row>
    <row r="70" spans="1:17" s="25" customFormat="1" x14ac:dyDescent="0.2">
      <c r="A70" s="3" t="str">
        <f t="shared" si="23"/>
        <v>&gt;= ACTC LEVEL 2 NAC</v>
      </c>
      <c r="B70" s="27">
        <f t="shared" si="24"/>
        <v>1</v>
      </c>
      <c r="C70" s="27">
        <f t="shared" si="24"/>
        <v>1</v>
      </c>
      <c r="D70" s="27">
        <f t="shared" si="24"/>
        <v>4</v>
      </c>
      <c r="E70" s="27">
        <f t="shared" si="24"/>
        <v>5</v>
      </c>
      <c r="F70" s="27">
        <f t="shared" si="24"/>
        <v>2</v>
      </c>
      <c r="G70" s="22"/>
      <c r="H70" s="22"/>
      <c r="I70" s="26"/>
      <c r="J70" s="26"/>
      <c r="K70" s="295"/>
      <c r="L70" s="81"/>
      <c r="M70" s="81"/>
      <c r="N70" s="256"/>
      <c r="O70" s="105"/>
      <c r="P70" s="211"/>
    </row>
    <row r="71" spans="1:17" s="25" customFormat="1" x14ac:dyDescent="0.2">
      <c r="A71" s="3" t="str">
        <f t="shared" si="23"/>
        <v>&gt;= ACTC LEVEL 1 PILOT</v>
      </c>
      <c r="B71" s="27">
        <f t="shared" si="24"/>
        <v>1</v>
      </c>
      <c r="C71" s="27">
        <f t="shared" si="24"/>
        <v>3</v>
      </c>
      <c r="D71" s="27">
        <f t="shared" si="24"/>
        <v>10</v>
      </c>
      <c r="E71" s="27">
        <f t="shared" si="24"/>
        <v>12</v>
      </c>
      <c r="F71" s="27">
        <f t="shared" si="24"/>
        <v>5</v>
      </c>
      <c r="G71" s="22"/>
      <c r="H71" s="22"/>
      <c r="I71" s="26"/>
      <c r="J71" s="26"/>
      <c r="K71" s="295"/>
      <c r="L71" s="81"/>
      <c r="M71" s="81"/>
      <c r="N71" s="83"/>
      <c r="O71" s="105"/>
      <c r="P71" s="211"/>
    </row>
    <row r="72" spans="1:17" s="25" customFormat="1" x14ac:dyDescent="0.2">
      <c r="A72" s="3" t="str">
        <f t="shared" si="23"/>
        <v>&gt;= ACTC LEVEL 1 NAC</v>
      </c>
      <c r="B72" s="27">
        <f t="shared" si="24"/>
        <v>2</v>
      </c>
      <c r="C72" s="27">
        <f t="shared" si="24"/>
        <v>5</v>
      </c>
      <c r="D72" s="27">
        <f t="shared" si="24"/>
        <v>20</v>
      </c>
      <c r="E72" s="27">
        <f t="shared" si="24"/>
        <v>25</v>
      </c>
      <c r="F72" s="27">
        <f t="shared" si="24"/>
        <v>10</v>
      </c>
      <c r="G72" s="22"/>
      <c r="H72" s="22"/>
      <c r="I72" s="26"/>
      <c r="J72" s="26"/>
      <c r="K72" s="81"/>
      <c r="L72" s="83"/>
      <c r="M72" s="83"/>
      <c r="N72" s="83"/>
      <c r="O72" s="105"/>
      <c r="P72" s="211"/>
    </row>
    <row r="73" spans="1:17" s="25" customFormat="1" ht="12" x14ac:dyDescent="0.2">
      <c r="A73" s="3" t="str">
        <f t="shared" si="23"/>
        <v>Q24 Controller Qualified Crewmen</v>
      </c>
      <c r="B73" s="27">
        <f t="shared" si="24"/>
        <v>1</v>
      </c>
      <c r="C73" s="27">
        <f t="shared" si="24"/>
        <v>1</v>
      </c>
      <c r="D73" s="27">
        <f t="shared" si="24"/>
        <v>4</v>
      </c>
      <c r="E73" s="27">
        <f t="shared" si="24"/>
        <v>5</v>
      </c>
      <c r="F73" s="27">
        <f t="shared" si="24"/>
        <v>2</v>
      </c>
      <c r="G73" s="22"/>
      <c r="H73" s="22"/>
      <c r="I73" s="26"/>
      <c r="J73" s="26"/>
      <c r="K73" s="83"/>
      <c r="L73" s="83"/>
      <c r="M73" s="83"/>
      <c r="N73" s="83"/>
      <c r="O73" s="83"/>
      <c r="P73" s="211"/>
    </row>
    <row r="74" spans="1:17" s="25" customFormat="1" ht="12" x14ac:dyDescent="0.2">
      <c r="A74" s="3" t="str">
        <f t="shared" si="23"/>
        <v>AMNS Controller Qualified Crewmen</v>
      </c>
      <c r="B74" s="27">
        <f t="shared" si="24"/>
        <v>1</v>
      </c>
      <c r="C74" s="27">
        <f t="shared" si="24"/>
        <v>1</v>
      </c>
      <c r="D74" s="27">
        <f t="shared" si="24"/>
        <v>1</v>
      </c>
      <c r="E74" s="27">
        <f t="shared" si="24"/>
        <v>1</v>
      </c>
      <c r="F74" s="27">
        <f t="shared" si="24"/>
        <v>1</v>
      </c>
      <c r="G74" s="22"/>
      <c r="H74" s="22"/>
      <c r="I74" s="26"/>
      <c r="J74" s="26"/>
      <c r="K74" s="26"/>
      <c r="L74" s="83"/>
      <c r="M74" s="236"/>
      <c r="N74" s="236"/>
      <c r="O74" s="236"/>
      <c r="P74" s="83"/>
      <c r="Q74" s="211"/>
    </row>
    <row r="75" spans="1:17" s="25" customFormat="1" ht="12" x14ac:dyDescent="0.2">
      <c r="A75" s="3" t="str">
        <f>A118</f>
        <v>Required Skilled Crews</v>
      </c>
      <c r="B75" s="27">
        <f t="shared" si="24"/>
        <v>1</v>
      </c>
      <c r="C75" s="27">
        <f t="shared" si="24"/>
        <v>1</v>
      </c>
      <c r="D75" s="27">
        <f t="shared" si="24"/>
        <v>4</v>
      </c>
      <c r="E75" s="27">
        <f t="shared" si="24"/>
        <v>4</v>
      </c>
      <c r="F75" s="27">
        <f t="shared" si="24"/>
        <v>2</v>
      </c>
      <c r="G75" s="22"/>
      <c r="H75" s="23"/>
      <c r="I75" s="26"/>
      <c r="J75" s="26"/>
      <c r="K75" s="26"/>
      <c r="L75" s="83"/>
      <c r="M75" s="236"/>
      <c r="N75" s="236"/>
      <c r="O75" s="236"/>
      <c r="P75" s="83"/>
      <c r="Q75" s="211"/>
    </row>
    <row r="76" spans="1:17" s="25" customFormat="1" ht="12" x14ac:dyDescent="0.2">
      <c r="D76" s="160"/>
      <c r="G76" s="23"/>
      <c r="H76" s="23"/>
      <c r="I76" s="23"/>
      <c r="J76" s="26"/>
      <c r="K76" s="26"/>
      <c r="L76" s="236"/>
      <c r="M76" s="236"/>
      <c r="N76" s="236"/>
      <c r="O76" s="236"/>
      <c r="P76" s="83"/>
      <c r="Q76" s="211"/>
    </row>
    <row r="77" spans="1:17" s="25" customFormat="1" ht="12" x14ac:dyDescent="0.2">
      <c r="B77" s="161"/>
      <c r="C77" s="36" t="s">
        <v>147</v>
      </c>
      <c r="D77" s="209"/>
      <c r="E77" s="211"/>
      <c r="G77" s="23"/>
      <c r="H77" s="23"/>
      <c r="I77" s="23"/>
      <c r="J77" s="26"/>
      <c r="K77" s="26"/>
      <c r="L77" s="236"/>
      <c r="M77" s="236"/>
      <c r="N77" s="236"/>
      <c r="O77" s="236"/>
      <c r="P77" s="236"/>
      <c r="Q77" s="211"/>
    </row>
    <row r="78" spans="1:17" s="25" customFormat="1" ht="12" x14ac:dyDescent="0.2">
      <c r="B78" s="162"/>
      <c r="C78" s="36" t="s">
        <v>148</v>
      </c>
      <c r="D78" s="209"/>
      <c r="E78" s="211"/>
      <c r="G78" s="23"/>
      <c r="H78" s="23"/>
      <c r="I78" s="23"/>
      <c r="J78" s="23"/>
      <c r="K78" s="23"/>
      <c r="L78" s="83"/>
      <c r="M78" s="236"/>
      <c r="N78" s="236"/>
      <c r="O78" s="236"/>
      <c r="P78" s="83"/>
      <c r="Q78" s="211"/>
    </row>
    <row r="79" spans="1:17" s="25" customFormat="1" ht="12" x14ac:dyDescent="0.2">
      <c r="D79" s="160"/>
      <c r="G79" s="23"/>
      <c r="H79" s="23"/>
      <c r="I79" s="23"/>
      <c r="J79" s="23"/>
      <c r="K79" s="23"/>
      <c r="L79" s="236"/>
      <c r="M79" s="236"/>
      <c r="N79" s="236"/>
      <c r="O79" s="236"/>
      <c r="P79" s="83"/>
      <c r="Q79" s="211"/>
    </row>
    <row r="80" spans="1:17" s="25" customFormat="1" ht="12" x14ac:dyDescent="0.2">
      <c r="A80" s="25" t="str">
        <f>'HM-Det 3'!A80</f>
        <v>Notes for MESM RFT inputs:</v>
      </c>
      <c r="D80" s="160"/>
      <c r="G80" s="23"/>
      <c r="H80" s="23"/>
      <c r="I80" s="23"/>
      <c r="J80" s="23"/>
      <c r="K80" s="23"/>
      <c r="L80" s="236"/>
      <c r="M80" s="236"/>
      <c r="N80" s="236"/>
      <c r="O80" s="236"/>
      <c r="P80" s="236"/>
      <c r="Q80" s="211"/>
    </row>
    <row r="81" spans="1:17" s="25" customFormat="1" ht="12" x14ac:dyDescent="0.2">
      <c r="A81" s="25" t="str">
        <f>'HM-Det 3'!A81</f>
        <v>1.  T&amp;R reflects 1/3 AMCM, 2/3 other mission areas.</v>
      </c>
      <c r="D81" s="160"/>
      <c r="G81" s="23"/>
      <c r="H81" s="23"/>
      <c r="I81" s="23"/>
      <c r="J81" s="23"/>
      <c r="K81" s="23"/>
      <c r="L81" s="236"/>
      <c r="M81" s="83"/>
      <c r="N81" s="83"/>
      <c r="O81" s="83"/>
      <c r="P81" s="236"/>
      <c r="Q81" s="211"/>
    </row>
    <row r="82" spans="1:17" s="25" customFormat="1" ht="12" x14ac:dyDescent="0.2">
      <c r="A82" s="25" t="str">
        <f>'HM-Det 3'!A82</f>
        <v>2.  Calculations based on historical data flight hour flown per mission norms per FY.</v>
      </c>
      <c r="D82" s="160"/>
      <c r="G82" s="23"/>
      <c r="H82" s="23"/>
      <c r="I82" s="23"/>
      <c r="J82" s="23"/>
      <c r="K82" s="23"/>
      <c r="L82" s="236"/>
      <c r="M82" s="83"/>
      <c r="N82" s="83"/>
      <c r="O82" s="83"/>
      <c r="P82" s="236"/>
      <c r="Q82" s="211"/>
    </row>
    <row r="83" spans="1:17" s="25" customFormat="1" x14ac:dyDescent="0.2">
      <c r="A83" s="25" t="str">
        <f>'HM-Det 3'!A83</f>
        <v>3.  Norms were used different and collated for BAHRAIN, NORFOLK.</v>
      </c>
      <c r="D83" s="160"/>
      <c r="G83" s="23"/>
      <c r="H83" s="23"/>
      <c r="I83" s="23"/>
      <c r="J83" s="23"/>
      <c r="K83" s="23"/>
      <c r="L83" s="83"/>
      <c r="M83" s="301"/>
      <c r="N83" s="301"/>
      <c r="O83" s="301"/>
      <c r="P83" s="236"/>
      <c r="Q83" s="211"/>
    </row>
    <row r="84" spans="1:17" s="25" customFormat="1" x14ac:dyDescent="0.2">
      <c r="A84" s="25" t="str">
        <f>'HM-Det 3'!A84</f>
        <v>4.  DET 3 norms used the average of NORFOLK inputs.</v>
      </c>
      <c r="D84" s="160"/>
      <c r="G84" s="23"/>
      <c r="H84" s="23"/>
      <c r="I84" s="23"/>
      <c r="J84" s="23"/>
      <c r="K84" s="23"/>
      <c r="L84" s="83"/>
      <c r="M84" s="301"/>
      <c r="N84" s="301"/>
      <c r="O84" s="301"/>
      <c r="P84" s="83"/>
      <c r="Q84" s="211"/>
    </row>
    <row r="85" spans="1:17" s="25" customFormat="1" x14ac:dyDescent="0.2">
      <c r="A85" s="25" t="str">
        <f>'HM-Det 3'!A85</f>
        <v>5.  BAHRAIN- (5%)SAR, (25%)VOD/ (50%)AMCM/ (20%)Expanded Mobility.</v>
      </c>
      <c r="D85" s="160"/>
      <c r="G85" s="23"/>
      <c r="H85" s="23"/>
      <c r="I85" s="23"/>
      <c r="J85" s="23"/>
      <c r="K85" s="23"/>
      <c r="L85" s="301"/>
      <c r="M85" s="301"/>
      <c r="N85" s="301"/>
      <c r="O85" s="301"/>
      <c r="P85" s="83"/>
      <c r="Q85" s="211"/>
    </row>
    <row r="86" spans="1:17" s="25" customFormat="1" x14ac:dyDescent="0.2">
      <c r="A86" s="25" t="str">
        <f>'HM-Det 3'!A86</f>
        <v>6.  NORFOLK- (5%)SAR, (30%)VOD/ (25%)AMCM/ (40%)Expanded Mobility.</v>
      </c>
      <c r="D86" s="160"/>
      <c r="G86" s="23"/>
      <c r="H86" s="23"/>
      <c r="I86" s="31"/>
      <c r="J86" s="23"/>
      <c r="K86" s="23"/>
      <c r="L86" s="301"/>
      <c r="M86" s="301"/>
      <c r="N86" s="301"/>
      <c r="O86" s="301"/>
      <c r="P86" s="301"/>
      <c r="Q86" s="211"/>
    </row>
    <row r="87" spans="1:17" s="25" customFormat="1" x14ac:dyDescent="0.2">
      <c r="A87" s="25" t="str">
        <f>'HM-Det 3'!A87</f>
        <v>7.  DET 3-   (5%)SAR, (20%)VOD/ (27.5%)AMCM/ (47.5%)Expanded Mobility.</v>
      </c>
      <c r="D87" s="160"/>
      <c r="G87" s="23"/>
      <c r="H87" s="31"/>
      <c r="I87" s="31"/>
      <c r="J87" s="23"/>
      <c r="K87" s="23"/>
      <c r="L87" s="301"/>
      <c r="M87" s="83"/>
      <c r="N87" s="83"/>
      <c r="O87" s="83"/>
      <c r="P87" s="301"/>
      <c r="Q87" s="211"/>
    </row>
    <row r="88" spans="1:17" s="25" customFormat="1" x14ac:dyDescent="0.2">
      <c r="A88" s="25" t="str">
        <f>'HM-Det 3'!A88</f>
        <v>8.  Bahrain Standard breakout: 15.2B - Basic, 15.2A - Deploy</v>
      </c>
      <c r="D88" s="160"/>
      <c r="G88" s="23"/>
      <c r="H88" s="31"/>
      <c r="I88" s="31"/>
      <c r="J88" s="23"/>
      <c r="K88" s="23"/>
      <c r="L88" s="301"/>
      <c r="M88" s="289"/>
      <c r="N88" s="289"/>
      <c r="O88" s="289"/>
      <c r="P88" s="301"/>
      <c r="Q88" s="211"/>
    </row>
    <row r="89" spans="1:17" s="25" customFormat="1" x14ac:dyDescent="0.2">
      <c r="A89" s="261" t="str">
        <f>'HM-Det 3'!A89</f>
        <v>9.  4 AC, 6 Crew Standard Breakout: 14.1 and 15.1 - Sustain</v>
      </c>
      <c r="B89" s="261"/>
      <c r="C89" s="261"/>
      <c r="D89" s="160"/>
      <c r="G89" s="23"/>
      <c r="H89" s="31"/>
      <c r="I89" s="31"/>
      <c r="J89" s="47"/>
      <c r="K89" s="48"/>
      <c r="L89" s="83"/>
      <c r="M89" s="83"/>
      <c r="N89" s="83"/>
      <c r="O89" s="83"/>
      <c r="P89" s="301"/>
      <c r="Q89" s="211"/>
    </row>
    <row r="90" spans="1:17" s="25" customFormat="1" ht="12" x14ac:dyDescent="0.2">
      <c r="A90" s="211" t="str">
        <f>'HM-Det 3'!A90</f>
        <v>10.  Det 3 Standard Breakout: 14.3, 15.3 - Maintenance, 14.2B - Basic, 14.2A - Deploy</v>
      </c>
      <c r="B90" s="211"/>
      <c r="C90" s="211"/>
      <c r="D90" s="160"/>
      <c r="G90" s="23"/>
      <c r="H90" s="31"/>
      <c r="I90" s="31"/>
      <c r="J90" s="49"/>
      <c r="K90" s="50"/>
      <c r="L90" s="289"/>
      <c r="M90" s="83"/>
      <c r="N90" s="83"/>
      <c r="O90" s="83"/>
      <c r="P90" s="83"/>
      <c r="Q90" s="211"/>
    </row>
    <row r="91" spans="1:17" s="25" customFormat="1" thickBot="1" x14ac:dyDescent="0.25">
      <c r="A91" s="5"/>
      <c r="B91" s="5"/>
      <c r="C91" s="5"/>
      <c r="D91" s="163"/>
      <c r="E91" s="5"/>
      <c r="F91" s="5"/>
      <c r="G91" s="23"/>
      <c r="H91" s="31"/>
      <c r="I91" s="46"/>
      <c r="J91" s="49"/>
      <c r="K91" s="50"/>
      <c r="L91" s="83"/>
      <c r="M91" s="83"/>
      <c r="N91" s="83"/>
      <c r="O91" s="83"/>
      <c r="P91" s="289"/>
      <c r="Q91" s="211"/>
    </row>
    <row r="92" spans="1:17" s="25" customFormat="1" thickBot="1" x14ac:dyDescent="0.25">
      <c r="A92" s="690" t="s">
        <v>215</v>
      </c>
      <c r="B92" s="691"/>
      <c r="C92" s="691"/>
      <c r="D92" s="691"/>
      <c r="E92" s="691"/>
      <c r="F92" s="692"/>
      <c r="G92" s="92"/>
      <c r="H92" s="46"/>
      <c r="I92" s="24"/>
      <c r="J92" s="49"/>
      <c r="K92" s="50"/>
      <c r="L92" s="83"/>
      <c r="M92" s="83"/>
      <c r="N92" s="83"/>
      <c r="O92" s="83"/>
      <c r="P92" s="83"/>
      <c r="Q92" s="211"/>
    </row>
    <row r="93" spans="1:17" s="25" customFormat="1" ht="12" x14ac:dyDescent="0.2">
      <c r="A93" s="229" t="s">
        <v>153</v>
      </c>
      <c r="B93" s="74">
        <f>MIN(100,B95+$B$99)</f>
        <v>26.5</v>
      </c>
      <c r="C93" s="74">
        <f>MIN(100,C95+$B$99)</f>
        <v>41.5</v>
      </c>
      <c r="D93" s="74">
        <f>MIN(100,D95+$B$99)</f>
        <v>100</v>
      </c>
      <c r="E93" s="74">
        <f>MIN(100,E95+$B$99)</f>
        <v>100</v>
      </c>
      <c r="F93" s="75">
        <f>MIN(100,F95+$B$114)</f>
        <v>49</v>
      </c>
      <c r="H93" s="24"/>
      <c r="I93" s="24"/>
      <c r="J93" s="17"/>
      <c r="K93" s="50"/>
      <c r="L93" s="83"/>
      <c r="M93" s="83"/>
      <c r="N93" s="83"/>
      <c r="O93" s="83"/>
      <c r="P93" s="83"/>
      <c r="Q93" s="211"/>
    </row>
    <row r="94" spans="1:17" s="25" customFormat="1" ht="12" x14ac:dyDescent="0.2">
      <c r="A94" s="6" t="s">
        <v>154</v>
      </c>
      <c r="B94" s="7">
        <f>MIN(100,B95+$B$100)</f>
        <v>20</v>
      </c>
      <c r="C94" s="7">
        <f>MIN(100,C95+$B$100)</f>
        <v>35</v>
      </c>
      <c r="D94" s="7">
        <f>MIN(100,D95+$B$100)</f>
        <v>95</v>
      </c>
      <c r="E94" s="7">
        <f>MIN(100,E95+$B$100)</f>
        <v>100</v>
      </c>
      <c r="F94" s="72">
        <f>MIN(100,F95+$B$115)</f>
        <v>62</v>
      </c>
      <c r="H94" s="24"/>
      <c r="I94" s="24"/>
      <c r="J94" s="46"/>
      <c r="K94" s="46"/>
      <c r="L94" s="83"/>
      <c r="M94" s="83"/>
      <c r="N94" s="83"/>
      <c r="O94" s="83"/>
      <c r="P94" s="83"/>
      <c r="Q94" s="211"/>
    </row>
    <row r="95" spans="1:17" s="25" customFormat="1" ht="12" x14ac:dyDescent="0.2">
      <c r="A95" s="6" t="s">
        <v>155</v>
      </c>
      <c r="B95" s="53">
        <v>5</v>
      </c>
      <c r="C95" s="53">
        <v>20</v>
      </c>
      <c r="D95" s="53">
        <v>80</v>
      </c>
      <c r="E95" s="53">
        <v>100</v>
      </c>
      <c r="F95" s="73">
        <v>37</v>
      </c>
      <c r="H95" s="24"/>
      <c r="I95" s="32"/>
      <c r="L95" s="83"/>
      <c r="M95" s="83"/>
      <c r="N95" s="83"/>
      <c r="O95" s="83"/>
      <c r="P95" s="83"/>
      <c r="Q95" s="211"/>
    </row>
    <row r="96" spans="1:17" s="25" customFormat="1" ht="12" x14ac:dyDescent="0.2">
      <c r="A96" s="6" t="s">
        <v>156</v>
      </c>
      <c r="B96" s="7">
        <f>MIN(80,IF(B13="Deploy",80,MAX(0,B95-$B$100)))</f>
        <v>0</v>
      </c>
      <c r="C96" s="7">
        <f>MIN(80,IF(C13="Deploy",80,MAX(0,C95-$B$100)))</f>
        <v>5</v>
      </c>
      <c r="D96" s="7">
        <f>MIN(80,IF(D13="Deploy",80,MAX(0,D95-$B$100)))</f>
        <v>65</v>
      </c>
      <c r="E96" s="7">
        <f>MIN(80,IF(E13="Deploy",80,MAX(0,E95-$B$100)))</f>
        <v>80</v>
      </c>
      <c r="F96" s="72">
        <f>MIN(80,IF(G13="Deploy",80,MAX(0,F95-$B$100)))</f>
        <v>22</v>
      </c>
      <c r="H96" s="32"/>
      <c r="I96" s="24"/>
      <c r="L96" s="83"/>
      <c r="M96" s="83"/>
      <c r="N96" s="83"/>
      <c r="O96" s="83"/>
      <c r="P96" s="83"/>
      <c r="Q96" s="211"/>
    </row>
    <row r="97" spans="1:17" s="25" customFormat="1" thickBot="1" x14ac:dyDescent="0.25">
      <c r="A97" s="230" t="s">
        <v>157</v>
      </c>
      <c r="B97" s="140">
        <f>MIN(60,IF(B13="Deploy",60,MAX(0,B95-$B$99)))</f>
        <v>0</v>
      </c>
      <c r="C97" s="140">
        <f>MIN(60,IF(C13="Deploy",60,MAX(0,C95-$B$99)))</f>
        <v>0</v>
      </c>
      <c r="D97" s="140">
        <f>MIN(60,IF(D13="Deploy",60,MAX(0,D95-$B$99)))</f>
        <v>58.5</v>
      </c>
      <c r="E97" s="140">
        <f>MIN(60,IF(E13="Deploy",60,MAX(0,E95-$B$99)))</f>
        <v>60</v>
      </c>
      <c r="F97" s="141">
        <f>MIN(60,IF(G13="Deploy",60,MAX(0,F95-$B$99)))</f>
        <v>15.5</v>
      </c>
      <c r="H97" s="24"/>
      <c r="I97" s="24"/>
      <c r="L97" s="83"/>
      <c r="M97" s="83"/>
      <c r="N97" s="83"/>
      <c r="O97" s="83"/>
      <c r="P97" s="83"/>
      <c r="Q97" s="211"/>
    </row>
    <row r="98" spans="1:17" s="25" customFormat="1" thickBot="1" x14ac:dyDescent="0.25">
      <c r="A98" s="137" t="s">
        <v>158</v>
      </c>
      <c r="B98" s="138">
        <v>5</v>
      </c>
      <c r="C98" s="138">
        <v>20</v>
      </c>
      <c r="D98" s="138">
        <v>80</v>
      </c>
      <c r="E98" s="138">
        <v>37</v>
      </c>
      <c r="F98" s="142">
        <v>37</v>
      </c>
      <c r="H98" s="24"/>
      <c r="I98" s="5"/>
      <c r="L98" s="83"/>
      <c r="M98" s="289"/>
      <c r="N98" s="289"/>
      <c r="O98" s="289"/>
      <c r="P98" s="83"/>
      <c r="Q98" s="211"/>
    </row>
    <row r="99" spans="1:17" s="25" customFormat="1" ht="12" x14ac:dyDescent="0.2">
      <c r="A99" s="328" t="s">
        <v>159</v>
      </c>
      <c r="B99" s="333">
        <v>21.5</v>
      </c>
      <c r="C99" s="321"/>
      <c r="E99" s="239"/>
      <c r="F99" s="262"/>
      <c r="G99" s="32"/>
      <c r="H99" s="5"/>
      <c r="I99" s="5"/>
      <c r="L99" s="83"/>
      <c r="M99" s="289"/>
      <c r="N99" s="289"/>
      <c r="O99" s="289"/>
      <c r="P99" s="83"/>
      <c r="Q99" s="211"/>
    </row>
    <row r="100" spans="1:17" s="25" customFormat="1" thickBot="1" x14ac:dyDescent="0.25">
      <c r="A100" s="51" t="s">
        <v>160</v>
      </c>
      <c r="B100" s="263">
        <v>15</v>
      </c>
      <c r="C100" s="321"/>
      <c r="E100" s="239"/>
      <c r="F100" s="239"/>
      <c r="G100" s="24"/>
      <c r="H100" s="5"/>
      <c r="I100" s="9"/>
      <c r="L100" s="289"/>
      <c r="M100" s="83"/>
      <c r="N100" s="83"/>
      <c r="O100" s="83"/>
      <c r="P100" s="83"/>
      <c r="Q100" s="211"/>
    </row>
    <row r="101" spans="1:17" s="25" customFormat="1" thickBot="1" x14ac:dyDescent="0.25">
      <c r="A101" s="9"/>
      <c r="B101" s="9"/>
      <c r="C101" s="9"/>
      <c r="D101" s="164"/>
      <c r="E101" s="9"/>
      <c r="F101" s="9"/>
      <c r="G101" s="24"/>
      <c r="H101" s="9"/>
      <c r="I101" s="15"/>
      <c r="L101" s="289"/>
      <c r="M101" s="83"/>
      <c r="N101" s="83"/>
      <c r="O101" s="83"/>
      <c r="P101" s="289"/>
      <c r="Q101" s="211"/>
    </row>
    <row r="102" spans="1:17" s="25" customFormat="1" thickBot="1" x14ac:dyDescent="0.25">
      <c r="A102" s="319" t="s">
        <v>161</v>
      </c>
      <c r="B102" s="320"/>
      <c r="C102" s="246"/>
      <c r="D102" s="246"/>
      <c r="E102" s="5"/>
      <c r="F102" s="15"/>
      <c r="G102" s="5"/>
      <c r="H102" s="15"/>
      <c r="I102" s="15"/>
      <c r="L102" s="83"/>
      <c r="M102" s="83"/>
      <c r="N102" s="83"/>
      <c r="O102" s="83"/>
      <c r="P102" s="289"/>
      <c r="Q102" s="211"/>
    </row>
    <row r="103" spans="1:17" s="25" customFormat="1" thickBot="1" x14ac:dyDescent="0.25">
      <c r="A103" s="378" t="s">
        <v>162</v>
      </c>
      <c r="B103" s="379"/>
      <c r="C103" s="372" t="s">
        <v>224</v>
      </c>
      <c r="D103" s="246"/>
      <c r="E103" s="5"/>
      <c r="F103" s="15"/>
      <c r="G103" s="5"/>
      <c r="H103" s="15"/>
      <c r="I103" s="5"/>
      <c r="L103" s="83"/>
      <c r="M103" s="83"/>
      <c r="N103" s="83"/>
      <c r="O103" s="83"/>
      <c r="P103" s="83"/>
      <c r="Q103" s="211"/>
    </row>
    <row r="104" spans="1:17" s="25" customFormat="1" ht="12" x14ac:dyDescent="0.2">
      <c r="A104" s="375" t="s">
        <v>164</v>
      </c>
      <c r="B104" s="376">
        <v>12</v>
      </c>
      <c r="C104" s="15"/>
      <c r="D104" s="210"/>
      <c r="E104" s="5"/>
      <c r="F104" s="12"/>
      <c r="G104" s="9"/>
      <c r="H104" s="5"/>
      <c r="I104" s="5"/>
      <c r="L104" s="83"/>
      <c r="M104" s="83"/>
      <c r="N104" s="83"/>
      <c r="O104" s="83"/>
      <c r="P104" s="83"/>
      <c r="Q104" s="211"/>
    </row>
    <row r="105" spans="1:17" s="25" customFormat="1" ht="12" x14ac:dyDescent="0.2">
      <c r="A105" s="13" t="s">
        <v>165</v>
      </c>
      <c r="B105" s="14">
        <v>11</v>
      </c>
      <c r="C105" s="15"/>
      <c r="D105" s="210"/>
      <c r="E105" s="5"/>
      <c r="F105" s="12"/>
      <c r="G105" s="15"/>
      <c r="H105" s="5"/>
      <c r="I105" s="5"/>
      <c r="L105" s="83"/>
      <c r="M105" s="83"/>
      <c r="N105" s="83"/>
      <c r="O105" s="83"/>
      <c r="P105" s="83"/>
      <c r="Q105" s="211"/>
    </row>
    <row r="106" spans="1:17" s="25" customFormat="1" ht="12" x14ac:dyDescent="0.2">
      <c r="A106" s="10" t="s">
        <v>166</v>
      </c>
      <c r="B106" s="11">
        <v>28</v>
      </c>
      <c r="C106" s="15"/>
      <c r="D106" s="210"/>
      <c r="E106" s="5"/>
      <c r="F106" s="12"/>
      <c r="G106" s="15"/>
      <c r="H106" s="5"/>
      <c r="I106" s="9"/>
      <c r="L106" s="83"/>
      <c r="M106" s="83"/>
      <c r="N106" s="83"/>
      <c r="O106" s="83"/>
      <c r="P106" s="83"/>
      <c r="Q106" s="211"/>
    </row>
    <row r="107" spans="1:17" s="25" customFormat="1" ht="12" x14ac:dyDescent="0.2">
      <c r="A107" s="13" t="s">
        <v>167</v>
      </c>
      <c r="B107" s="14">
        <v>24</v>
      </c>
      <c r="C107" s="15"/>
      <c r="D107" s="210"/>
      <c r="E107" s="9"/>
      <c r="F107" s="12"/>
      <c r="G107" s="211"/>
      <c r="H107" s="9"/>
      <c r="I107" s="9"/>
      <c r="L107" s="83"/>
      <c r="M107" s="83"/>
      <c r="N107" s="83"/>
      <c r="O107" s="83"/>
      <c r="P107" s="83"/>
      <c r="Q107" s="211"/>
    </row>
    <row r="108" spans="1:17" s="25" customFormat="1" ht="12" x14ac:dyDescent="0.2">
      <c r="A108" s="13" t="s">
        <v>168</v>
      </c>
      <c r="B108" s="16">
        <v>5</v>
      </c>
      <c r="C108" s="15"/>
      <c r="D108" s="210"/>
      <c r="E108" s="9"/>
      <c r="F108" s="267"/>
      <c r="G108" s="9"/>
      <c r="H108" s="211"/>
      <c r="I108" s="9"/>
      <c r="L108" s="83"/>
      <c r="M108" s="83"/>
      <c r="N108" s="83"/>
      <c r="O108" s="83"/>
      <c r="P108" s="83"/>
      <c r="Q108" s="211"/>
    </row>
    <row r="109" spans="1:17" s="25" customFormat="1" ht="12" x14ac:dyDescent="0.2">
      <c r="A109" s="13" t="s">
        <v>169</v>
      </c>
      <c r="B109" s="16">
        <v>5</v>
      </c>
      <c r="C109" s="15"/>
      <c r="D109" s="210"/>
      <c r="E109" s="9"/>
      <c r="F109" s="267"/>
      <c r="G109" s="9"/>
      <c r="H109" s="211"/>
      <c r="I109" s="19"/>
      <c r="J109" s="211"/>
      <c r="L109" s="83"/>
      <c r="M109" s="83"/>
      <c r="N109" s="83"/>
      <c r="O109" s="83"/>
      <c r="P109" s="83"/>
      <c r="Q109" s="211"/>
    </row>
    <row r="110" spans="1:17" s="25" customFormat="1" ht="12" x14ac:dyDescent="0.2">
      <c r="A110" s="13" t="s">
        <v>170</v>
      </c>
      <c r="B110" s="16">
        <v>5</v>
      </c>
      <c r="C110" s="15"/>
      <c r="D110" s="210"/>
      <c r="E110" s="9"/>
      <c r="F110" s="267"/>
      <c r="G110" s="9"/>
      <c r="H110" s="211"/>
      <c r="I110" s="211"/>
      <c r="J110" s="265"/>
      <c r="K110" s="261"/>
      <c r="L110" s="83"/>
      <c r="M110" s="83"/>
      <c r="N110" s="83"/>
      <c r="O110" s="83"/>
      <c r="P110" s="83"/>
      <c r="Q110" s="211"/>
    </row>
    <row r="111" spans="1:17" s="25" customFormat="1" ht="12" x14ac:dyDescent="0.2">
      <c r="A111" s="13" t="s">
        <v>171</v>
      </c>
      <c r="B111" s="14">
        <v>5</v>
      </c>
      <c r="C111" s="15"/>
      <c r="D111" s="210"/>
      <c r="E111" s="9"/>
      <c r="F111" s="267"/>
      <c r="G111" s="211"/>
      <c r="H111" s="211"/>
      <c r="I111" s="211"/>
      <c r="J111" s="265"/>
      <c r="K111" s="261"/>
      <c r="L111" s="83"/>
      <c r="M111" s="289"/>
      <c r="N111" s="289"/>
      <c r="O111" s="289"/>
      <c r="P111" s="83"/>
      <c r="Q111" s="211"/>
    </row>
    <row r="112" spans="1:17" s="25" customFormat="1" ht="12" x14ac:dyDescent="0.2">
      <c r="A112" s="13" t="s">
        <v>172</v>
      </c>
      <c r="B112" s="16">
        <v>5</v>
      </c>
      <c r="C112" s="15"/>
      <c r="D112" s="210"/>
      <c r="E112" s="9"/>
      <c r="F112" s="267"/>
      <c r="G112" s="9"/>
      <c r="H112" s="211"/>
      <c r="I112" s="211"/>
      <c r="J112" s="268"/>
      <c r="K112" s="264"/>
      <c r="L112" s="83"/>
      <c r="M112" s="83"/>
      <c r="N112" s="83"/>
      <c r="O112" s="83"/>
      <c r="P112" s="83"/>
      <c r="Q112" s="211"/>
    </row>
    <row r="113" spans="1:17" s="25" customFormat="1" ht="12" x14ac:dyDescent="0.2">
      <c r="A113" s="13" t="s">
        <v>173</v>
      </c>
      <c r="B113" s="16">
        <v>5</v>
      </c>
      <c r="C113" s="15"/>
      <c r="D113" s="210"/>
      <c r="E113" s="9"/>
      <c r="F113" s="267"/>
      <c r="G113" s="211"/>
      <c r="H113" s="211"/>
      <c r="I113" s="211"/>
      <c r="J113" s="268"/>
      <c r="K113" s="264"/>
      <c r="L113" s="289"/>
      <c r="M113" s="83"/>
      <c r="N113" s="83"/>
      <c r="O113" s="83"/>
      <c r="P113" s="83"/>
      <c r="Q113" s="211"/>
    </row>
    <row r="114" spans="1:17" s="25" customFormat="1" ht="12" x14ac:dyDescent="0.2">
      <c r="A114" s="13" t="s">
        <v>174</v>
      </c>
      <c r="B114" s="16">
        <v>12</v>
      </c>
      <c r="C114" s="15"/>
      <c r="D114" s="210"/>
      <c r="E114" s="9"/>
      <c r="F114" s="267"/>
      <c r="G114" s="9"/>
      <c r="H114" s="211"/>
      <c r="I114" s="211"/>
      <c r="J114" s="268"/>
      <c r="K114" s="264"/>
      <c r="L114" s="83"/>
      <c r="M114" s="83"/>
      <c r="N114" s="83"/>
      <c r="O114" s="83"/>
      <c r="P114" s="289"/>
      <c r="Q114" s="211"/>
    </row>
    <row r="115" spans="1:17" s="25" customFormat="1" ht="12" x14ac:dyDescent="0.2">
      <c r="A115" s="13" t="s">
        <v>175</v>
      </c>
      <c r="B115" s="20">
        <v>25</v>
      </c>
      <c r="C115" s="15"/>
      <c r="D115" s="210"/>
      <c r="E115" s="9"/>
      <c r="F115" s="267"/>
      <c r="G115" s="211"/>
      <c r="H115" s="211"/>
      <c r="I115" s="211"/>
      <c r="J115" s="268"/>
      <c r="K115" s="261"/>
      <c r="L115" s="83"/>
      <c r="M115" s="83"/>
      <c r="N115" s="83"/>
      <c r="O115" s="83"/>
      <c r="P115" s="83"/>
      <c r="Q115" s="211"/>
    </row>
    <row r="116" spans="1:17" s="25" customFormat="1" ht="12" x14ac:dyDescent="0.2">
      <c r="A116" s="203" t="s">
        <v>176</v>
      </c>
      <c r="B116" s="20">
        <v>5</v>
      </c>
      <c r="C116" s="15"/>
      <c r="D116" s="210"/>
      <c r="E116" s="9"/>
      <c r="F116" s="268"/>
      <c r="G116" s="211"/>
      <c r="H116" s="211"/>
      <c r="I116" s="211"/>
      <c r="J116" s="267"/>
      <c r="K116" s="261"/>
      <c r="L116" s="83"/>
      <c r="M116" s="83"/>
      <c r="N116" s="83"/>
      <c r="O116" s="83"/>
      <c r="P116" s="83"/>
      <c r="Q116" s="211"/>
    </row>
    <row r="117" spans="1:17" s="25" customFormat="1" ht="12" x14ac:dyDescent="0.2">
      <c r="A117" s="203" t="s">
        <v>177</v>
      </c>
      <c r="B117" s="20">
        <v>1</v>
      </c>
      <c r="C117" s="15"/>
      <c r="D117" s="210"/>
      <c r="E117" s="9"/>
      <c r="F117" s="268"/>
      <c r="G117" s="17"/>
      <c r="H117" s="211"/>
      <c r="I117" s="211"/>
      <c r="J117" s="268"/>
      <c r="K117" s="261"/>
      <c r="L117" s="83"/>
      <c r="M117" s="83"/>
      <c r="N117" s="83"/>
      <c r="O117" s="83"/>
      <c r="P117" s="83"/>
      <c r="Q117" s="211"/>
    </row>
    <row r="118" spans="1:17" s="25" customFormat="1" thickBot="1" x14ac:dyDescent="0.25">
      <c r="A118" s="207" t="s">
        <v>178</v>
      </c>
      <c r="B118" s="377">
        <v>4</v>
      </c>
      <c r="C118" s="15"/>
      <c r="D118" s="210"/>
      <c r="E118" s="9"/>
      <c r="F118" s="266"/>
      <c r="G118" s="17"/>
      <c r="H118" s="211"/>
      <c r="J118" s="268"/>
      <c r="K118" s="261"/>
      <c r="L118" s="83"/>
      <c r="M118" s="83"/>
      <c r="N118" s="83"/>
      <c r="O118" s="83"/>
      <c r="P118" s="83"/>
      <c r="Q118" s="211"/>
    </row>
    <row r="119" spans="1:17" s="25" customFormat="1" thickBot="1" x14ac:dyDescent="0.25">
      <c r="C119" s="210"/>
      <c r="D119" s="248"/>
      <c r="J119" s="268"/>
      <c r="K119" s="264"/>
      <c r="L119" s="83"/>
      <c r="M119" s="83"/>
      <c r="N119" s="83"/>
      <c r="O119" s="83"/>
      <c r="P119" s="83"/>
      <c r="Q119" s="211"/>
    </row>
    <row r="120" spans="1:17" s="25" customFormat="1" thickBot="1" x14ac:dyDescent="0.25">
      <c r="A120" s="673" t="s">
        <v>179</v>
      </c>
      <c r="B120" s="674"/>
      <c r="C120" s="674"/>
      <c r="D120" s="674"/>
      <c r="E120" s="674"/>
      <c r="F120" s="675"/>
      <c r="L120" s="83"/>
      <c r="M120" s="83"/>
      <c r="N120" s="83"/>
      <c r="O120" s="83"/>
      <c r="P120" s="83"/>
      <c r="Q120" s="211"/>
    </row>
    <row r="121" spans="1:17" s="25" customFormat="1" ht="12" x14ac:dyDescent="0.2">
      <c r="A121" s="84" t="s">
        <v>180</v>
      </c>
      <c r="B121" s="244" t="s">
        <v>181</v>
      </c>
      <c r="C121" s="244" t="s">
        <v>181</v>
      </c>
      <c r="D121" s="85" t="s">
        <v>181</v>
      </c>
      <c r="E121" s="85"/>
      <c r="F121" s="88" t="s">
        <v>181</v>
      </c>
      <c r="L121" s="83"/>
      <c r="M121" s="83"/>
      <c r="N121" s="83"/>
      <c r="O121" s="83"/>
      <c r="P121" s="83"/>
      <c r="Q121" s="211"/>
    </row>
    <row r="122" spans="1:17" s="25" customFormat="1" ht="13.5" thickBot="1" x14ac:dyDescent="0.25">
      <c r="A122" s="86" t="s">
        <v>182</v>
      </c>
      <c r="B122" s="269"/>
      <c r="C122" s="269"/>
      <c r="D122" s="87"/>
      <c r="E122" s="87" t="s">
        <v>181</v>
      </c>
      <c r="F122" s="89"/>
      <c r="I122" s="105"/>
      <c r="L122" s="83"/>
      <c r="M122" s="83"/>
      <c r="N122" s="83"/>
      <c r="O122" s="83"/>
      <c r="P122" s="83"/>
      <c r="Q122" s="211"/>
    </row>
    <row r="123" spans="1:17" s="25" customFormat="1" ht="13.5" thickBot="1" x14ac:dyDescent="0.25">
      <c r="A123" s="114"/>
      <c r="B123" s="114"/>
      <c r="C123" s="114"/>
      <c r="D123" s="160"/>
      <c r="E123" s="105"/>
      <c r="F123" s="105"/>
      <c r="G123" s="105"/>
      <c r="H123" s="105"/>
      <c r="I123" s="105"/>
      <c r="L123" s="83"/>
      <c r="M123" s="83"/>
      <c r="N123" s="83"/>
      <c r="O123" s="83"/>
      <c r="P123" s="83"/>
      <c r="Q123" s="211"/>
    </row>
    <row r="124" spans="1:17" ht="13.5" thickBot="1" x14ac:dyDescent="0.25">
      <c r="A124" s="334" t="s">
        <v>183</v>
      </c>
      <c r="B124" s="660" t="s">
        <v>184</v>
      </c>
      <c r="C124" s="661"/>
      <c r="D124" s="662" t="s">
        <v>185</v>
      </c>
      <c r="E124" s="663"/>
      <c r="F124" s="664" t="s">
        <v>186</v>
      </c>
      <c r="G124" s="665"/>
      <c r="H124" s="216"/>
      <c r="Q124" s="211"/>
    </row>
    <row r="125" spans="1:17" x14ac:dyDescent="0.2">
      <c r="A125" s="335" t="s">
        <v>187</v>
      </c>
      <c r="B125" s="336"/>
      <c r="C125" s="337"/>
      <c r="D125" s="337"/>
      <c r="E125" s="337"/>
      <c r="F125" s="337"/>
      <c r="G125" s="338"/>
      <c r="H125" s="216"/>
    </row>
    <row r="126" spans="1:17" x14ac:dyDescent="0.2">
      <c r="A126" s="339" t="s">
        <v>188</v>
      </c>
      <c r="B126" s="340">
        <v>4</v>
      </c>
      <c r="C126" s="340"/>
      <c r="D126" s="341">
        <v>3</v>
      </c>
      <c r="E126" s="341">
        <v>2</v>
      </c>
      <c r="F126" s="342">
        <v>1</v>
      </c>
      <c r="G126" s="343">
        <v>0</v>
      </c>
      <c r="H126" s="216"/>
      <c r="J126" s="369" t="s">
        <v>189</v>
      </c>
    </row>
    <row r="127" spans="1:17" x14ac:dyDescent="0.2">
      <c r="A127" s="339" t="s">
        <v>190</v>
      </c>
      <c r="B127" s="344">
        <v>4</v>
      </c>
      <c r="C127" s="345">
        <v>3</v>
      </c>
      <c r="D127" s="346"/>
      <c r="E127" s="346">
        <v>2</v>
      </c>
      <c r="F127" s="342">
        <v>1</v>
      </c>
      <c r="G127" s="348">
        <v>0</v>
      </c>
      <c r="H127" s="216"/>
      <c r="J127" s="113" t="s">
        <v>52</v>
      </c>
    </row>
    <row r="128" spans="1:17" x14ac:dyDescent="0.2">
      <c r="A128" s="349" t="s">
        <v>124</v>
      </c>
      <c r="B128" s="350"/>
      <c r="C128" s="351"/>
      <c r="D128" s="351"/>
      <c r="E128" s="351"/>
      <c r="F128" s="351"/>
      <c r="G128" s="352"/>
      <c r="H128" s="216"/>
    </row>
    <row r="129" spans="1:8" x14ac:dyDescent="0.2">
      <c r="A129" s="339" t="str">
        <f t="shared" ref="A129:A136" si="25">A39</f>
        <v>Ready MH-53E SAR/MEDEVAC Mission Systems (C)</v>
      </c>
      <c r="B129" s="353">
        <v>4</v>
      </c>
      <c r="C129" s="353">
        <v>3</v>
      </c>
      <c r="D129" s="354">
        <v>2</v>
      </c>
      <c r="E129" s="346"/>
      <c r="F129" s="355">
        <v>1</v>
      </c>
      <c r="G129" s="356">
        <v>0</v>
      </c>
      <c r="H129" s="216"/>
    </row>
    <row r="130" spans="1:8" x14ac:dyDescent="0.2">
      <c r="A130" s="339" t="str">
        <f t="shared" si="25"/>
        <v>Ready MH-53E Logistics Support Mission Systems (D)</v>
      </c>
      <c r="B130" s="340">
        <v>4</v>
      </c>
      <c r="C130" s="353">
        <v>3</v>
      </c>
      <c r="D130" s="341">
        <v>2</v>
      </c>
      <c r="E130" s="346"/>
      <c r="F130" s="355">
        <v>1</v>
      </c>
      <c r="G130" s="356">
        <v>0</v>
      </c>
      <c r="H130" s="216"/>
    </row>
    <row r="131" spans="1:8" x14ac:dyDescent="0.2">
      <c r="A131" s="339" t="str">
        <f t="shared" si="25"/>
        <v>Ready MH-53E Expanded Mobility Mission Systems (E)</v>
      </c>
      <c r="B131" s="340">
        <v>4</v>
      </c>
      <c r="C131" s="353">
        <v>3</v>
      </c>
      <c r="D131" s="341">
        <v>2</v>
      </c>
      <c r="E131" s="346"/>
      <c r="F131" s="355">
        <v>1</v>
      </c>
      <c r="G131" s="356">
        <v>0</v>
      </c>
      <c r="H131" s="216"/>
    </row>
    <row r="132" spans="1:8" x14ac:dyDescent="0.2">
      <c r="A132" s="339" t="str">
        <f t="shared" si="25"/>
        <v>Ready MH-53E SUW and Special Warfare Mission Systems (F)</v>
      </c>
      <c r="B132" s="340">
        <v>4</v>
      </c>
      <c r="C132" s="353">
        <v>3</v>
      </c>
      <c r="D132" s="341">
        <v>2</v>
      </c>
      <c r="E132" s="346"/>
      <c r="F132" s="355">
        <v>1</v>
      </c>
      <c r="G132" s="356">
        <v>0</v>
      </c>
      <c r="H132" s="213"/>
    </row>
    <row r="133" spans="1:8" x14ac:dyDescent="0.2">
      <c r="A133" s="339" t="str">
        <f t="shared" si="25"/>
        <v>Ready MH-53E Real-Time Diagnostics and Fault Monitoring Systems (I)</v>
      </c>
      <c r="B133" s="340">
        <v>4</v>
      </c>
      <c r="C133" s="353">
        <v>3</v>
      </c>
      <c r="D133" s="341">
        <v>2</v>
      </c>
      <c r="E133" s="346"/>
      <c r="F133" s="355">
        <v>1</v>
      </c>
      <c r="G133" s="343">
        <v>0</v>
      </c>
      <c r="H133" s="213"/>
    </row>
    <row r="134" spans="1:8" x14ac:dyDescent="0.2">
      <c r="A134" s="339" t="str">
        <f t="shared" si="25"/>
        <v>Ready MH-53E Airborne Mine Counter Measures Mission (AMCM) Systems (J)</v>
      </c>
      <c r="B134" s="344">
        <v>4</v>
      </c>
      <c r="C134" s="353">
        <v>3</v>
      </c>
      <c r="D134" s="346">
        <v>2</v>
      </c>
      <c r="E134" s="346"/>
      <c r="F134" s="355">
        <v>1</v>
      </c>
      <c r="G134" s="348">
        <v>0</v>
      </c>
      <c r="H134" s="213"/>
    </row>
    <row r="135" spans="1:8" x14ac:dyDescent="0.2">
      <c r="A135" s="339" t="str">
        <f t="shared" si="25"/>
        <v>Ready MH-53E Shipboard Mission Systems (K)</v>
      </c>
      <c r="B135" s="344">
        <v>4</v>
      </c>
      <c r="C135" s="353">
        <v>3</v>
      </c>
      <c r="D135" s="346">
        <v>2</v>
      </c>
      <c r="E135" s="346"/>
      <c r="F135" s="355">
        <v>1</v>
      </c>
      <c r="G135" s="348">
        <v>0</v>
      </c>
      <c r="H135" s="213"/>
    </row>
    <row r="136" spans="1:8" x14ac:dyDescent="0.2">
      <c r="A136" s="339" t="str">
        <f t="shared" si="25"/>
        <v>Ready MH-53E IMC Flight Mission Systems (L)</v>
      </c>
      <c r="B136" s="344">
        <v>4</v>
      </c>
      <c r="C136" s="353">
        <v>3</v>
      </c>
      <c r="D136" s="346">
        <v>2</v>
      </c>
      <c r="E136" s="346"/>
      <c r="F136" s="355">
        <v>1</v>
      </c>
      <c r="G136" s="348">
        <v>0</v>
      </c>
      <c r="H136" s="213"/>
    </row>
    <row r="137" spans="1:8" x14ac:dyDescent="0.2">
      <c r="A137" s="357" t="s">
        <v>133</v>
      </c>
      <c r="B137" s="350"/>
      <c r="C137" s="351"/>
      <c r="D137" s="351"/>
      <c r="E137" s="351"/>
      <c r="F137" s="351"/>
      <c r="G137" s="352"/>
      <c r="H137" s="213"/>
    </row>
    <row r="138" spans="1:8" x14ac:dyDescent="0.2">
      <c r="A138" s="339" t="str">
        <f t="shared" ref="A138:A149" si="26">A48</f>
        <v>Assigned Guns Sets</v>
      </c>
      <c r="B138" s="344">
        <v>8</v>
      </c>
      <c r="C138" s="340"/>
      <c r="D138" s="346">
        <v>7</v>
      </c>
      <c r="E138" s="346">
        <v>6</v>
      </c>
      <c r="F138" s="347">
        <v>5</v>
      </c>
      <c r="G138" s="348">
        <v>0</v>
      </c>
      <c r="H138" s="213"/>
    </row>
    <row r="139" spans="1:8" x14ac:dyDescent="0.2">
      <c r="A139" s="339" t="str">
        <f t="shared" si="26"/>
        <v>Ready Guns Sets</v>
      </c>
      <c r="B139" s="344">
        <v>8</v>
      </c>
      <c r="C139" s="340">
        <v>6</v>
      </c>
      <c r="D139" s="346">
        <v>5</v>
      </c>
      <c r="E139" s="346">
        <v>3</v>
      </c>
      <c r="F139" s="347">
        <v>2</v>
      </c>
      <c r="G139" s="348">
        <v>0</v>
      </c>
      <c r="H139" s="213"/>
    </row>
    <row r="140" spans="1:8" x14ac:dyDescent="0.2">
      <c r="A140" s="339" t="str">
        <f t="shared" si="26"/>
        <v>Assigned MK 103 Sets</v>
      </c>
      <c r="B140" s="344">
        <v>4</v>
      </c>
      <c r="C140" s="340"/>
      <c r="D140" s="346">
        <v>3</v>
      </c>
      <c r="E140" s="346"/>
      <c r="F140" s="347">
        <v>2</v>
      </c>
      <c r="G140" s="348">
        <v>0</v>
      </c>
      <c r="H140" s="213"/>
    </row>
    <row r="141" spans="1:8" x14ac:dyDescent="0.2">
      <c r="A141" s="339" t="str">
        <f t="shared" si="26"/>
        <v>Ready MK 103 Sets</v>
      </c>
      <c r="B141" s="344">
        <v>4</v>
      </c>
      <c r="C141" s="340">
        <v>3</v>
      </c>
      <c r="D141" s="346">
        <v>2</v>
      </c>
      <c r="E141" s="346"/>
      <c r="F141" s="347">
        <v>1</v>
      </c>
      <c r="G141" s="348">
        <v>0</v>
      </c>
      <c r="H141" s="213"/>
    </row>
    <row r="142" spans="1:8" x14ac:dyDescent="0.2">
      <c r="A142" s="339" t="str">
        <f t="shared" si="26"/>
        <v>Assigned MK 104 Sets</v>
      </c>
      <c r="B142" s="344">
        <v>4</v>
      </c>
      <c r="C142" s="340"/>
      <c r="D142" s="346">
        <v>3</v>
      </c>
      <c r="E142" s="346"/>
      <c r="F142" s="347">
        <v>2</v>
      </c>
      <c r="G142" s="348">
        <v>0</v>
      </c>
      <c r="H142" s="213"/>
    </row>
    <row r="143" spans="1:8" x14ac:dyDescent="0.2">
      <c r="A143" s="339" t="str">
        <f t="shared" si="26"/>
        <v>Ready MK 104 Sets</v>
      </c>
      <c r="B143" s="344">
        <v>4</v>
      </c>
      <c r="C143" s="340">
        <v>3</v>
      </c>
      <c r="D143" s="346">
        <v>2</v>
      </c>
      <c r="E143" s="346"/>
      <c r="F143" s="347">
        <v>1</v>
      </c>
      <c r="G143" s="348">
        <v>0</v>
      </c>
      <c r="H143" s="213"/>
    </row>
    <row r="144" spans="1:8" x14ac:dyDescent="0.2">
      <c r="A144" s="339" t="str">
        <f t="shared" si="26"/>
        <v>Assigned MK 105 Sets</v>
      </c>
      <c r="B144" s="344">
        <v>2</v>
      </c>
      <c r="C144" s="340"/>
      <c r="D144" s="346">
        <v>1</v>
      </c>
      <c r="E144" s="346"/>
      <c r="F144" s="347"/>
      <c r="G144" s="348">
        <v>0</v>
      </c>
      <c r="H144" s="213"/>
    </row>
    <row r="145" spans="1:8" x14ac:dyDescent="0.2">
      <c r="A145" s="339" t="str">
        <f t="shared" si="26"/>
        <v>Ready MK 105 Sets</v>
      </c>
      <c r="B145" s="344">
        <v>2</v>
      </c>
      <c r="C145" s="340">
        <v>1</v>
      </c>
      <c r="D145" s="346"/>
      <c r="E145" s="346"/>
      <c r="F145" s="347"/>
      <c r="G145" s="348">
        <v>0</v>
      </c>
      <c r="H145" s="213"/>
    </row>
    <row r="146" spans="1:8" x14ac:dyDescent="0.2">
      <c r="A146" s="339" t="str">
        <f t="shared" si="26"/>
        <v>Assigned Q24 Sets</v>
      </c>
      <c r="B146" s="344">
        <v>4</v>
      </c>
      <c r="C146" s="340"/>
      <c r="D146" s="346">
        <v>3</v>
      </c>
      <c r="E146" s="346"/>
      <c r="F146" s="347">
        <v>2</v>
      </c>
      <c r="G146" s="348">
        <v>0</v>
      </c>
      <c r="H146" s="213"/>
    </row>
    <row r="147" spans="1:8" x14ac:dyDescent="0.2">
      <c r="A147" s="339" t="str">
        <f t="shared" si="26"/>
        <v>Ready Q24 Sets</v>
      </c>
      <c r="B147" s="344">
        <v>4</v>
      </c>
      <c r="C147" s="340">
        <v>3</v>
      </c>
      <c r="D147" s="346">
        <v>2</v>
      </c>
      <c r="E147" s="346"/>
      <c r="F147" s="347">
        <v>1</v>
      </c>
      <c r="G147" s="348">
        <v>0</v>
      </c>
      <c r="H147" s="213"/>
    </row>
    <row r="148" spans="1:8" x14ac:dyDescent="0.2">
      <c r="A148" s="339" t="str">
        <f t="shared" si="26"/>
        <v>Assigned MOP Sets</v>
      </c>
      <c r="B148" s="344">
        <v>4</v>
      </c>
      <c r="C148" s="340"/>
      <c r="D148" s="346">
        <v>3</v>
      </c>
      <c r="E148" s="346"/>
      <c r="F148" s="347">
        <v>2</v>
      </c>
      <c r="G148" s="348">
        <v>0</v>
      </c>
      <c r="H148" s="213"/>
    </row>
    <row r="149" spans="1:8" ht="13.5" thickBot="1" x14ac:dyDescent="0.25">
      <c r="A149" s="358" t="str">
        <f t="shared" si="26"/>
        <v>Ready MOP Sets</v>
      </c>
      <c r="B149" s="362">
        <v>4</v>
      </c>
      <c r="C149" s="362">
        <v>3</v>
      </c>
      <c r="D149" s="359">
        <v>2</v>
      </c>
      <c r="E149" s="359"/>
      <c r="F149" s="360">
        <v>1</v>
      </c>
      <c r="G149" s="361">
        <v>0</v>
      </c>
      <c r="H149" s="213"/>
    </row>
    <row r="150" spans="1:8" x14ac:dyDescent="0.2">
      <c r="A150"/>
      <c r="B150"/>
      <c r="C150"/>
      <c r="D150" s="181"/>
      <c r="E150" s="181"/>
      <c r="F150" s="181"/>
      <c r="G150" s="181"/>
      <c r="H150" s="213"/>
    </row>
    <row r="151" spans="1:8" x14ac:dyDescent="0.2">
      <c r="A151"/>
      <c r="B151"/>
      <c r="C151"/>
      <c r="D151" s="181"/>
      <c r="E151" s="181"/>
      <c r="F151" s="181"/>
      <c r="G151" s="181"/>
      <c r="H151" s="213"/>
    </row>
    <row r="152" spans="1:8" x14ac:dyDescent="0.2">
      <c r="A152" s="529" t="s">
        <v>191</v>
      </c>
      <c r="B152" s="529" t="s">
        <v>221</v>
      </c>
    </row>
    <row r="153" spans="1:8" x14ac:dyDescent="0.2">
      <c r="A153" s="545" t="s">
        <v>193</v>
      </c>
      <c r="B153" s="530">
        <f>HLOOKUP($B$152,'MH-53E Mission System Summary_O'!$B$1:$F$12,2,FALSE)</f>
        <v>0.72701314629565739</v>
      </c>
      <c r="C153" s="363"/>
      <c r="D153" s="363"/>
      <c r="E153" s="366"/>
    </row>
    <row r="154" spans="1:8" x14ac:dyDescent="0.2">
      <c r="A154" s="522" t="s">
        <v>125</v>
      </c>
      <c r="B154" s="530">
        <f>HLOOKUP($B$152,'MH-53E Mission System Summary_O'!$B$1:$F$12,3,FALSE)</f>
        <v>0.46909853972634252</v>
      </c>
      <c r="C154" s="363"/>
      <c r="D154" s="363"/>
      <c r="E154" s="366"/>
    </row>
    <row r="155" spans="1:8" x14ac:dyDescent="0.2">
      <c r="A155" s="522" t="s">
        <v>126</v>
      </c>
      <c r="B155" s="530">
        <f>HLOOKUP($B$152,'MH-53E Mission System Summary_O'!$B$1:$F$12,4,FALSE)</f>
        <v>0.45771530412786032</v>
      </c>
      <c r="C155" s="299"/>
      <c r="D155" s="248"/>
      <c r="E155" s="366"/>
    </row>
    <row r="156" spans="1:8" x14ac:dyDescent="0.2">
      <c r="A156" s="522" t="s">
        <v>127</v>
      </c>
      <c r="B156" s="530">
        <f>HLOOKUP($B$152,'MH-53E Mission System Summary_O'!$B$1:$F$12,5,FALSE)</f>
        <v>0.58482810164424515</v>
      </c>
    </row>
    <row r="157" spans="1:8" x14ac:dyDescent="0.2">
      <c r="A157" s="525" t="s">
        <v>128</v>
      </c>
      <c r="B157" s="530">
        <f>HLOOKUP($B$152,'MH-53E Mission System Summary_O'!$B$1:$F$12,6,FALSE)</f>
        <v>0</v>
      </c>
    </row>
    <row r="158" spans="1:8" x14ac:dyDescent="0.2">
      <c r="A158" s="522" t="s">
        <v>129</v>
      </c>
      <c r="B158" s="530">
        <f>HLOOKUP($B$152,'MH-53E Mission System Summary_O'!$B$1:$F$12,7,FALSE)</f>
        <v>0</v>
      </c>
    </row>
    <row r="159" spans="1:8" x14ac:dyDescent="0.2">
      <c r="A159" s="522" t="s">
        <v>130</v>
      </c>
      <c r="B159" s="530">
        <f>HLOOKUP($B$152,'MH-53E Mission System Summary_O'!$B$1:$F$12,8,FALSE)</f>
        <v>0.46941474071518929</v>
      </c>
    </row>
    <row r="160" spans="1:8" x14ac:dyDescent="0.2">
      <c r="A160" s="522" t="s">
        <v>131</v>
      </c>
      <c r="B160" s="530">
        <f>HLOOKUP($B$152,'MH-53E Mission System Summary_O'!$B$1:$F$12,9,FALSE)</f>
        <v>0.59621133724272746</v>
      </c>
    </row>
    <row r="161" spans="1:2" x14ac:dyDescent="0.2">
      <c r="A161" s="522" t="s">
        <v>132</v>
      </c>
      <c r="B161" s="530">
        <f>HLOOKUP($B$152,'MH-53E Mission System Summary_O'!$B$1:$F$12,10,FALSE)</f>
        <v>1</v>
      </c>
    </row>
  </sheetData>
  <mergeCells count="9">
    <mergeCell ref="B124:C124"/>
    <mergeCell ref="D124:E124"/>
    <mergeCell ref="F124:G124"/>
    <mergeCell ref="A1:C1"/>
    <mergeCell ref="L29:P29"/>
    <mergeCell ref="A92:F92"/>
    <mergeCell ref="L17:O17"/>
    <mergeCell ref="L49:M49"/>
    <mergeCell ref="A120:F120"/>
  </mergeCells>
  <phoneticPr fontId="0" type="noConversion"/>
  <conditionalFormatting sqref="C139:C141 C126:C136">
    <cfRule type="cellIs" dxfId="49" priority="47" operator="equal">
      <formula>B126</formula>
    </cfRule>
  </conditionalFormatting>
  <conditionalFormatting sqref="D139:E141 D126:E136">
    <cfRule type="cellIs" dxfId="48" priority="46" operator="equal">
      <formula>C126</formula>
    </cfRule>
  </conditionalFormatting>
  <conditionalFormatting sqref="E126">
    <cfRule type="cellIs" dxfId="47" priority="45" operator="equal">
      <formula>D126</formula>
    </cfRule>
  </conditionalFormatting>
  <conditionalFormatting sqref="F126">
    <cfRule type="cellIs" dxfId="46" priority="44" operator="equal">
      <formula>E126</formula>
    </cfRule>
  </conditionalFormatting>
  <conditionalFormatting sqref="C126:C136">
    <cfRule type="cellIs" dxfId="45" priority="43" operator="equal">
      <formula>B126</formula>
    </cfRule>
  </conditionalFormatting>
  <conditionalFormatting sqref="D126:E136">
    <cfRule type="cellIs" dxfId="44" priority="42" operator="equal">
      <formula>C126</formula>
    </cfRule>
  </conditionalFormatting>
  <conditionalFormatting sqref="E126">
    <cfRule type="cellIs" dxfId="43" priority="41" operator="equal">
      <formula>D126</formula>
    </cfRule>
  </conditionalFormatting>
  <conditionalFormatting sqref="F126">
    <cfRule type="cellIs" dxfId="42" priority="40" operator="equal">
      <formula>E126</formula>
    </cfRule>
  </conditionalFormatting>
  <conditionalFormatting sqref="F126">
    <cfRule type="cellIs" dxfId="41" priority="39" operator="equal">
      <formula>E126</formula>
    </cfRule>
  </conditionalFormatting>
  <conditionalFormatting sqref="C126">
    <cfRule type="cellIs" dxfId="40" priority="38" operator="equal">
      <formula>B126</formula>
    </cfRule>
  </conditionalFormatting>
  <conditionalFormatting sqref="D126">
    <cfRule type="cellIs" dxfId="39" priority="37" operator="equal">
      <formula>C126</formula>
    </cfRule>
  </conditionalFormatting>
  <conditionalFormatting sqref="E126">
    <cfRule type="cellIs" dxfId="38" priority="36" operator="equal">
      <formula>D126</formula>
    </cfRule>
  </conditionalFormatting>
  <conditionalFormatting sqref="D126">
    <cfRule type="cellIs" dxfId="37" priority="35" operator="equal">
      <formula>C126</formula>
    </cfRule>
  </conditionalFormatting>
  <conditionalFormatting sqref="E126">
    <cfRule type="cellIs" dxfId="36" priority="34" operator="equal">
      <formula>D126</formula>
    </cfRule>
  </conditionalFormatting>
  <conditionalFormatting sqref="C138:C141 C146:C149">
    <cfRule type="cellIs" dxfId="35" priority="33" operator="equal">
      <formula>B138</formula>
    </cfRule>
  </conditionalFormatting>
  <conditionalFormatting sqref="D138:E141 D146:E149">
    <cfRule type="cellIs" dxfId="34" priority="32" operator="equal">
      <formula>C138</formula>
    </cfRule>
  </conditionalFormatting>
  <conditionalFormatting sqref="F138:F141 F146:F149">
    <cfRule type="cellIs" dxfId="33" priority="30" operator="equal">
      <formula>G138</formula>
    </cfRule>
    <cfRule type="cellIs" dxfId="32" priority="31" operator="equal">
      <formula>E138</formula>
    </cfRule>
  </conditionalFormatting>
  <conditionalFormatting sqref="C138:C141 C146:C149">
    <cfRule type="cellIs" dxfId="31" priority="29" operator="equal">
      <formula>B138</formula>
    </cfRule>
  </conditionalFormatting>
  <conditionalFormatting sqref="D138:E141 D146:E149">
    <cfRule type="cellIs" dxfId="30" priority="28" operator="equal">
      <formula>C138</formula>
    </cfRule>
  </conditionalFormatting>
  <conditionalFormatting sqref="F138:F141 F146:F149">
    <cfRule type="cellIs" dxfId="29" priority="26" operator="equal">
      <formula>G138</formula>
    </cfRule>
    <cfRule type="cellIs" dxfId="28" priority="27" operator="equal">
      <formula>E138</formula>
    </cfRule>
  </conditionalFormatting>
  <conditionalFormatting sqref="C137">
    <cfRule type="cellIs" dxfId="27" priority="25" operator="equal">
      <formula>B137</formula>
    </cfRule>
  </conditionalFormatting>
  <conditionalFormatting sqref="D137:E137">
    <cfRule type="cellIs" dxfId="26" priority="24" operator="equal">
      <formula>C137</formula>
    </cfRule>
  </conditionalFormatting>
  <conditionalFormatting sqref="F137">
    <cfRule type="cellIs" dxfId="25" priority="22" operator="equal">
      <formula>G137</formula>
    </cfRule>
    <cfRule type="cellIs" dxfId="24" priority="23" operator="equal">
      <formula>E137</formula>
    </cfRule>
  </conditionalFormatting>
  <conditionalFormatting sqref="F127">
    <cfRule type="cellIs" dxfId="23" priority="21" operator="equal">
      <formula>E127</formula>
    </cfRule>
  </conditionalFormatting>
  <conditionalFormatting sqref="F127">
    <cfRule type="cellIs" dxfId="22" priority="20" operator="equal">
      <formula>E127</formula>
    </cfRule>
  </conditionalFormatting>
  <conditionalFormatting sqref="F127">
    <cfRule type="cellIs" dxfId="21" priority="19" operator="equal">
      <formula>E127</formula>
    </cfRule>
  </conditionalFormatting>
  <conditionalFormatting sqref="C144:C145">
    <cfRule type="cellIs" dxfId="20" priority="18" operator="equal">
      <formula>B144</formula>
    </cfRule>
  </conditionalFormatting>
  <conditionalFormatting sqref="D144:E145">
    <cfRule type="cellIs" dxfId="19" priority="17" operator="equal">
      <formula>C144</formula>
    </cfRule>
  </conditionalFormatting>
  <conditionalFormatting sqref="F144:F145">
    <cfRule type="cellIs" dxfId="18" priority="15" operator="equal">
      <formula>G144</formula>
    </cfRule>
    <cfRule type="cellIs" dxfId="17" priority="16" operator="equal">
      <formula>E144</formula>
    </cfRule>
  </conditionalFormatting>
  <conditionalFormatting sqref="C144:C145">
    <cfRule type="cellIs" dxfId="16" priority="14" operator="equal">
      <formula>B144</formula>
    </cfRule>
  </conditionalFormatting>
  <conditionalFormatting sqref="D144:E145">
    <cfRule type="cellIs" dxfId="15" priority="13" operator="equal">
      <formula>C144</formula>
    </cfRule>
  </conditionalFormatting>
  <conditionalFormatting sqref="F144:F145">
    <cfRule type="cellIs" dxfId="14" priority="11" operator="equal">
      <formula>G144</formula>
    </cfRule>
    <cfRule type="cellIs" dxfId="13" priority="12" operator="equal">
      <formula>E144</formula>
    </cfRule>
  </conditionalFormatting>
  <conditionalFormatting sqref="C142:C143">
    <cfRule type="cellIs" dxfId="12" priority="10" operator="equal">
      <formula>B142</formula>
    </cfRule>
  </conditionalFormatting>
  <conditionalFormatting sqref="D142:E143">
    <cfRule type="cellIs" dxfId="11" priority="9" operator="equal">
      <formula>C142</formula>
    </cfRule>
  </conditionalFormatting>
  <conditionalFormatting sqref="C142:C143">
    <cfRule type="cellIs" dxfId="10" priority="8" operator="equal">
      <formula>B142</formula>
    </cfRule>
  </conditionalFormatting>
  <conditionalFormatting sqref="D142:E143">
    <cfRule type="cellIs" dxfId="9" priority="7" operator="equal">
      <formula>C142</formula>
    </cfRule>
  </conditionalFormatting>
  <conditionalFormatting sqref="F142:F143">
    <cfRule type="cellIs" dxfId="8" priority="5" operator="equal">
      <formula>G142</formula>
    </cfRule>
    <cfRule type="cellIs" dxfId="7" priority="6" operator="equal">
      <formula>E142</formula>
    </cfRule>
  </conditionalFormatting>
  <conditionalFormatting sqref="C142:C143">
    <cfRule type="cellIs" dxfId="6" priority="4" operator="equal">
      <formula>B142</formula>
    </cfRule>
  </conditionalFormatting>
  <conditionalFormatting sqref="D142:E143">
    <cfRule type="cellIs" dxfId="5" priority="3" operator="equal">
      <formula>C142</formula>
    </cfRule>
  </conditionalFormatting>
  <conditionalFormatting sqref="F142:F143">
    <cfRule type="cellIs" dxfId="4" priority="1" operator="equal">
      <formula>G142</formula>
    </cfRule>
    <cfRule type="cellIs" dxfId="3" priority="2" operator="equal">
      <formula>E142</formula>
    </cfRule>
  </conditionalFormatting>
  <dataValidations disablePrompts="1" count="1">
    <dataValidation type="list" allowBlank="1" showInputMessage="1" showErrorMessage="1" sqref="M20" xr:uid="{00000000-0002-0000-0600-000000000000}">
      <formula1>$B$14:$E$14</formula1>
    </dataValidation>
  </dataValidations>
  <hyperlinks>
    <hyperlink ref="F1" location="Inventory!A1" display="Inventory" xr:uid="{00000000-0004-0000-0600-000000000000}"/>
    <hyperlink ref="J126" location="'HM - 4 AC, 6 Crew DRRS'!A1" display="Top" xr:uid="{00000000-0004-0000-0600-000001000000}"/>
    <hyperlink ref="F2" location="'HM - 4 AC, 6 Crew DRRS'!A155" display="AMFOM" xr:uid="{00000000-0004-0000-0600-000002000000}"/>
    <hyperlink ref="J127" location="Inventory!A1" display="Inventory" xr:uid="{00000000-0004-0000-0600-000003000000}"/>
  </hyperlinks>
  <pageMargins left="0.25" right="0.27" top="0.24" bottom="0.17" header="0.17" footer="0.17"/>
  <pageSetup paperSize="17" scale="3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0"/>
  <sheetViews>
    <sheetView showGridLines="0" workbookViewId="0">
      <selection activeCell="F1" sqref="F1"/>
    </sheetView>
  </sheetViews>
  <sheetFormatPr defaultRowHeight="12.75" x14ac:dyDescent="0.2"/>
  <cols>
    <col min="1" max="1" width="61.5703125" style="487" bestFit="1" customWidth="1"/>
    <col min="2" max="2" width="7.42578125" style="487" customWidth="1"/>
    <col min="3" max="5" width="7.42578125" style="482" customWidth="1"/>
    <col min="6" max="9" width="7.42578125" style="483" customWidth="1"/>
    <col min="10" max="10" width="5.7109375" style="483" customWidth="1"/>
    <col min="11" max="12" width="5.7109375" customWidth="1"/>
    <col min="13" max="13" width="7.7109375" bestFit="1" customWidth="1"/>
    <col min="14" max="31" width="5.7109375" customWidth="1"/>
  </cols>
  <sheetData>
    <row r="1" spans="1:17" ht="18.75" x14ac:dyDescent="0.3">
      <c r="A1" s="693" t="s">
        <v>225</v>
      </c>
      <c r="B1" s="693"/>
      <c r="C1" s="693"/>
      <c r="D1" s="693"/>
      <c r="E1" s="693"/>
      <c r="F1" s="478" t="s">
        <v>52</v>
      </c>
      <c r="G1" s="479"/>
      <c r="H1" s="404" t="s">
        <v>53</v>
      </c>
      <c r="I1" s="694">
        <v>44835</v>
      </c>
      <c r="J1" s="694"/>
      <c r="L1" s="516" t="s">
        <v>54</v>
      </c>
      <c r="M1" s="515" t="s">
        <v>226</v>
      </c>
    </row>
    <row r="2" spans="1:17" x14ac:dyDescent="0.2">
      <c r="A2" s="480"/>
      <c r="B2" s="481" t="s">
        <v>227</v>
      </c>
    </row>
    <row r="3" spans="1:17" x14ac:dyDescent="0.2">
      <c r="A3" s="484" t="s">
        <v>228</v>
      </c>
      <c r="B3" s="485">
        <v>6</v>
      </c>
    </row>
    <row r="4" spans="1:17" x14ac:dyDescent="0.2">
      <c r="A4" s="484"/>
      <c r="B4" s="485"/>
    </row>
    <row r="5" spans="1:17" x14ac:dyDescent="0.2">
      <c r="A5" s="480"/>
      <c r="B5" s="486"/>
    </row>
    <row r="6" spans="1:17" x14ac:dyDescent="0.2">
      <c r="A6" s="480"/>
      <c r="B6" s="486"/>
    </row>
    <row r="7" spans="1:17" ht="60.75" customHeight="1" x14ac:dyDescent="0.2">
      <c r="A7" s="80" t="s">
        <v>69</v>
      </c>
      <c r="B7" s="65" t="s">
        <v>45</v>
      </c>
      <c r="E7" s="487"/>
    </row>
    <row r="8" spans="1:17" x14ac:dyDescent="0.2">
      <c r="A8" s="80" t="s">
        <v>76</v>
      </c>
      <c r="B8" s="488" t="s">
        <v>229</v>
      </c>
      <c r="E8" s="487"/>
    </row>
    <row r="9" spans="1:17" x14ac:dyDescent="0.2">
      <c r="A9" s="80" t="s">
        <v>82</v>
      </c>
      <c r="B9" s="66">
        <v>1</v>
      </c>
      <c r="E9" s="489"/>
    </row>
    <row r="10" spans="1:17" x14ac:dyDescent="0.2">
      <c r="A10" s="80" t="s">
        <v>83</v>
      </c>
      <c r="B10" s="66" t="s">
        <v>45</v>
      </c>
      <c r="E10" s="489"/>
    </row>
    <row r="11" spans="1:17" x14ac:dyDescent="0.2">
      <c r="A11" s="490" t="s">
        <v>117</v>
      </c>
      <c r="B11" s="66"/>
      <c r="C11" s="506"/>
      <c r="E11" s="489"/>
    </row>
    <row r="12" spans="1:17" s="489" customFormat="1" ht="12" x14ac:dyDescent="0.2">
      <c r="A12" s="80" t="s">
        <v>118</v>
      </c>
      <c r="B12" s="28" t="s">
        <v>230</v>
      </c>
      <c r="C12" s="507"/>
      <c r="D12" s="482"/>
      <c r="E12" s="482"/>
      <c r="G12" s="483"/>
      <c r="H12" s="504"/>
      <c r="I12" s="483"/>
      <c r="J12" s="483"/>
      <c r="K12" s="483"/>
      <c r="L12" s="483"/>
      <c r="M12" s="483"/>
      <c r="N12" s="483"/>
      <c r="O12" s="483"/>
      <c r="P12" s="505"/>
      <c r="Q12" s="505"/>
    </row>
    <row r="13" spans="1:17" s="489" customFormat="1" ht="12" x14ac:dyDescent="0.2">
      <c r="A13" s="80" t="s">
        <v>119</v>
      </c>
      <c r="B13" s="28">
        <v>0.75</v>
      </c>
      <c r="C13" s="507"/>
      <c r="D13" s="482"/>
      <c r="E13" s="482"/>
      <c r="G13" s="483"/>
      <c r="H13" s="82"/>
      <c r="I13" s="483"/>
      <c r="J13" s="483"/>
      <c r="K13" s="483"/>
      <c r="L13" s="483"/>
      <c r="M13" s="483"/>
      <c r="N13" s="483"/>
      <c r="O13" s="483"/>
      <c r="P13" s="505"/>
      <c r="Q13" s="505"/>
    </row>
    <row r="14" spans="1:17" s="489" customFormat="1" ht="12" x14ac:dyDescent="0.2">
      <c r="A14" s="528" t="s">
        <v>120</v>
      </c>
      <c r="B14" s="28">
        <v>0.25</v>
      </c>
      <c r="C14" s="507"/>
      <c r="D14" s="482"/>
      <c r="E14" s="482"/>
      <c r="G14" s="483"/>
      <c r="H14" s="82"/>
      <c r="I14" s="483"/>
      <c r="J14" s="483"/>
      <c r="K14" s="483"/>
      <c r="L14" s="483"/>
      <c r="M14" s="483"/>
      <c r="N14" s="483"/>
      <c r="O14" s="483"/>
      <c r="P14" s="505"/>
      <c r="Q14" s="505"/>
    </row>
    <row r="15" spans="1:17" x14ac:dyDescent="0.2">
      <c r="A15" s="491" t="s">
        <v>231</v>
      </c>
      <c r="B15" s="492" t="s">
        <v>227</v>
      </c>
      <c r="C15" s="493"/>
      <c r="D15" s="493"/>
      <c r="E15" s="487"/>
      <c r="F15" s="494"/>
      <c r="G15" s="494"/>
      <c r="H15" s="494"/>
      <c r="I15" s="494"/>
      <c r="J15" s="494"/>
    </row>
    <row r="16" spans="1:17" x14ac:dyDescent="0.2">
      <c r="A16" s="78" t="s">
        <v>121</v>
      </c>
      <c r="B16" s="464">
        <v>2</v>
      </c>
      <c r="C16" s="495"/>
      <c r="D16" s="495"/>
      <c r="E16" s="495"/>
      <c r="F16" s="496"/>
      <c r="G16" s="496"/>
      <c r="H16" s="496"/>
      <c r="I16" s="496"/>
      <c r="J16" s="496"/>
    </row>
    <row r="17" spans="1:14" x14ac:dyDescent="0.2">
      <c r="A17" s="78" t="s">
        <v>122</v>
      </c>
      <c r="B17" s="451">
        <f>B16*B13</f>
        <v>1.5</v>
      </c>
      <c r="C17" s="493"/>
      <c r="D17" s="493"/>
      <c r="E17" s="493"/>
      <c r="F17" s="494"/>
      <c r="G17" s="494"/>
      <c r="H17" s="494"/>
      <c r="I17" s="494"/>
      <c r="J17" s="494"/>
    </row>
    <row r="18" spans="1:14" x14ac:dyDescent="0.2">
      <c r="A18" s="527" t="s">
        <v>123</v>
      </c>
      <c r="B18" s="451">
        <f>B16*B17</f>
        <v>3</v>
      </c>
      <c r="C18" s="493"/>
      <c r="D18" s="493"/>
      <c r="E18" s="493"/>
      <c r="F18" s="494"/>
      <c r="G18" s="494"/>
      <c r="H18" s="494"/>
      <c r="I18" s="494"/>
      <c r="J18" s="494"/>
    </row>
    <row r="19" spans="1:14" x14ac:dyDescent="0.2">
      <c r="A19" s="232" t="s">
        <v>124</v>
      </c>
      <c r="B19" s="511"/>
      <c r="C19" s="493"/>
      <c r="D19" s="493"/>
      <c r="E19" s="493"/>
      <c r="F19" s="494"/>
      <c r="G19" s="494"/>
      <c r="H19" s="494"/>
      <c r="I19" s="494"/>
      <c r="J19" s="494"/>
    </row>
    <row r="20" spans="1:14" x14ac:dyDescent="0.2">
      <c r="A20" s="446" t="s">
        <v>125</v>
      </c>
      <c r="B20" s="517"/>
      <c r="C20" s="518" t="s">
        <v>232</v>
      </c>
      <c r="D20" s="495"/>
      <c r="E20" s="495"/>
      <c r="F20" s="496"/>
      <c r="G20" s="496"/>
      <c r="H20" s="496"/>
      <c r="I20" s="496"/>
      <c r="J20" s="496"/>
    </row>
    <row r="21" spans="1:14" x14ac:dyDescent="0.2">
      <c r="A21" s="446" t="s">
        <v>126</v>
      </c>
      <c r="B21" s="517"/>
      <c r="C21" s="493"/>
      <c r="D21" s="493"/>
      <c r="E21" s="493"/>
      <c r="F21" s="494"/>
      <c r="G21" s="494"/>
      <c r="H21" s="494"/>
      <c r="I21" s="494"/>
      <c r="J21" s="494"/>
    </row>
    <row r="22" spans="1:14" x14ac:dyDescent="0.2">
      <c r="A22" s="446" t="s">
        <v>127</v>
      </c>
      <c r="B22" s="517"/>
      <c r="C22" s="493"/>
      <c r="D22" s="493"/>
      <c r="E22" s="493"/>
      <c r="F22" s="494"/>
      <c r="G22" s="494"/>
      <c r="H22" s="494"/>
      <c r="I22" s="494"/>
      <c r="J22" s="494"/>
    </row>
    <row r="23" spans="1:14" x14ac:dyDescent="0.2">
      <c r="A23" s="509" t="s">
        <v>128</v>
      </c>
      <c r="B23" s="517"/>
      <c r="C23" s="495"/>
      <c r="D23" s="495"/>
      <c r="E23" s="495"/>
      <c r="F23" s="496"/>
      <c r="G23" s="496"/>
      <c r="H23" s="496"/>
      <c r="I23" s="496"/>
      <c r="J23" s="496"/>
    </row>
    <row r="24" spans="1:14" x14ac:dyDescent="0.2">
      <c r="A24" s="446" t="s">
        <v>129</v>
      </c>
      <c r="B24" s="517"/>
      <c r="C24" s="493"/>
      <c r="D24" s="493"/>
      <c r="E24" s="493"/>
      <c r="F24" s="494"/>
      <c r="G24" s="494"/>
      <c r="H24" s="494"/>
      <c r="I24" s="494"/>
      <c r="J24" s="494"/>
    </row>
    <row r="25" spans="1:14" x14ac:dyDescent="0.2">
      <c r="A25" s="446" t="s">
        <v>130</v>
      </c>
      <c r="B25" s="517"/>
      <c r="C25" s="493"/>
      <c r="D25" s="493"/>
      <c r="E25" s="493"/>
      <c r="F25" s="494"/>
      <c r="G25" s="494"/>
      <c r="H25" s="494"/>
      <c r="I25" s="494"/>
      <c r="J25" s="494"/>
    </row>
    <row r="26" spans="1:14" x14ac:dyDescent="0.2">
      <c r="A26" s="446" t="s">
        <v>131</v>
      </c>
      <c r="B26" s="517"/>
      <c r="C26" s="493"/>
      <c r="D26" s="493"/>
      <c r="E26" s="493"/>
      <c r="F26" s="494"/>
      <c r="G26" s="494"/>
      <c r="H26" s="494"/>
      <c r="I26" s="494"/>
      <c r="J26" s="494"/>
    </row>
    <row r="27" spans="1:14" x14ac:dyDescent="0.2">
      <c r="A27" s="510" t="s">
        <v>132</v>
      </c>
      <c r="B27" s="458">
        <f t="shared" ref="B27" si="0">B17</f>
        <v>1.5</v>
      </c>
      <c r="C27" s="493"/>
      <c r="D27" s="493"/>
      <c r="E27" s="493"/>
      <c r="F27" s="494"/>
      <c r="G27" s="494"/>
      <c r="H27" s="494"/>
      <c r="I27" s="494"/>
      <c r="J27" s="494"/>
    </row>
    <row r="28" spans="1:14" x14ac:dyDescent="0.2">
      <c r="A28" s="245" t="s">
        <v>233</v>
      </c>
      <c r="B28" s="499"/>
      <c r="C28" s="493"/>
      <c r="D28" s="493"/>
      <c r="E28" s="493"/>
      <c r="F28" s="494"/>
      <c r="G28" s="494"/>
      <c r="H28" s="494"/>
      <c r="I28" s="494"/>
      <c r="J28" s="494"/>
    </row>
    <row r="29" spans="1:14" x14ac:dyDescent="0.2">
      <c r="A29" s="78" t="s">
        <v>234</v>
      </c>
      <c r="B29" s="498">
        <v>0.8</v>
      </c>
      <c r="C29" s="493"/>
      <c r="D29" s="493"/>
      <c r="E29" s="493"/>
      <c r="F29" s="494"/>
      <c r="G29" s="494"/>
      <c r="H29" s="494"/>
      <c r="I29" s="494"/>
      <c r="J29" s="494"/>
    </row>
    <row r="30" spans="1:14" x14ac:dyDescent="0.2">
      <c r="A30" s="78" t="s">
        <v>235</v>
      </c>
      <c r="B30" s="498">
        <v>0.8</v>
      </c>
      <c r="C30" s="493"/>
      <c r="D30" s="493"/>
      <c r="E30" s="493"/>
      <c r="F30" s="494"/>
      <c r="G30" s="494"/>
      <c r="H30" s="494"/>
      <c r="I30" s="494"/>
      <c r="J30" s="494"/>
    </row>
    <row r="31" spans="1:14" x14ac:dyDescent="0.2">
      <c r="A31" s="78" t="s">
        <v>236</v>
      </c>
      <c r="B31" s="498">
        <v>0.75</v>
      </c>
      <c r="C31" s="493"/>
      <c r="D31" s="493"/>
      <c r="E31" s="493"/>
      <c r="F31" s="494"/>
      <c r="G31" s="494"/>
      <c r="H31" s="494"/>
      <c r="I31" s="494"/>
      <c r="J31" s="494"/>
    </row>
    <row r="32" spans="1:14" x14ac:dyDescent="0.2">
      <c r="A32" s="497"/>
      <c r="B32" s="497"/>
      <c r="N32" s="500"/>
    </row>
    <row r="33" spans="1:14" x14ac:dyDescent="0.2">
      <c r="A33" s="497"/>
      <c r="B33" s="497"/>
      <c r="N33" s="398"/>
    </row>
    <row r="34" spans="1:14" x14ac:dyDescent="0.2">
      <c r="A34" s="497"/>
      <c r="B34" s="497"/>
    </row>
    <row r="35" spans="1:14" x14ac:dyDescent="0.2">
      <c r="A35" s="497"/>
      <c r="B35" s="497"/>
    </row>
    <row r="36" spans="1:14" x14ac:dyDescent="0.2">
      <c r="A36" s="497"/>
      <c r="B36" s="497"/>
    </row>
    <row r="37" spans="1:14" x14ac:dyDescent="0.2">
      <c r="A37" s="497"/>
      <c r="B37" s="497"/>
    </row>
    <row r="38" spans="1:14" x14ac:dyDescent="0.2">
      <c r="A38" s="497"/>
      <c r="B38" s="497"/>
    </row>
    <row r="39" spans="1:14" x14ac:dyDescent="0.2">
      <c r="A39" s="497"/>
      <c r="B39" s="497"/>
    </row>
    <row r="40" spans="1:14" x14ac:dyDescent="0.2">
      <c r="A40" s="497"/>
      <c r="B40" s="497"/>
    </row>
  </sheetData>
  <mergeCells count="2">
    <mergeCell ref="A1:E1"/>
    <mergeCell ref="I1:J1"/>
  </mergeCells>
  <hyperlinks>
    <hyperlink ref="F1" location="Inventory!A1" display="Inventory"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2"/>
  <sheetViews>
    <sheetView showGridLines="0" zoomScale="90" zoomScaleNormal="90" workbookViewId="0">
      <selection activeCell="C1" sqref="C1"/>
    </sheetView>
  </sheetViews>
  <sheetFormatPr defaultRowHeight="12.75" x14ac:dyDescent="0.2"/>
  <cols>
    <col min="1" max="1" width="6.42578125" style="394" bestFit="1" customWidth="1"/>
    <col min="2" max="2" width="16.140625" style="394" bestFit="1" customWidth="1"/>
    <col min="3" max="3" width="67.42578125" style="394" bestFit="1" customWidth="1"/>
    <col min="4" max="12" width="5.7109375" customWidth="1"/>
    <col min="13" max="18" width="5.7109375" style="398" customWidth="1"/>
    <col min="19" max="25" width="5.7109375" customWidth="1"/>
  </cols>
  <sheetData>
    <row r="1" spans="1:25" s="388" customFormat="1" ht="15.75" x14ac:dyDescent="0.25">
      <c r="A1" s="389" t="s">
        <v>53</v>
      </c>
      <c r="B1" s="554">
        <v>43586</v>
      </c>
      <c r="C1" s="555" t="s">
        <v>52</v>
      </c>
      <c r="D1" s="698" t="s">
        <v>237</v>
      </c>
      <c r="E1" s="698"/>
      <c r="F1" s="698"/>
      <c r="G1" s="698"/>
      <c r="H1" s="698"/>
      <c r="I1" s="698"/>
      <c r="J1" s="698"/>
      <c r="K1" s="698"/>
      <c r="L1" s="698"/>
      <c r="M1" s="698"/>
      <c r="N1" s="698"/>
      <c r="O1" s="698"/>
      <c r="P1" s="698"/>
      <c r="Q1" s="698"/>
      <c r="R1" s="698"/>
      <c r="S1" s="698"/>
      <c r="T1" s="698"/>
      <c r="U1" s="698"/>
      <c r="V1" s="698"/>
      <c r="W1" s="698"/>
      <c r="X1" s="698"/>
      <c r="Y1" s="698"/>
    </row>
    <row r="2" spans="1:25" s="543" customFormat="1" ht="338.25" thickBot="1" x14ac:dyDescent="0.25">
      <c r="C2" s="444" t="s">
        <v>238</v>
      </c>
      <c r="D2" s="546" t="s">
        <v>188</v>
      </c>
      <c r="E2" s="547" t="s">
        <v>190</v>
      </c>
      <c r="F2" s="546" t="s">
        <v>239</v>
      </c>
      <c r="G2" s="547" t="s">
        <v>240</v>
      </c>
      <c r="H2" s="546" t="s">
        <v>241</v>
      </c>
      <c r="I2" s="547" t="s">
        <v>242</v>
      </c>
      <c r="J2" s="546" t="s">
        <v>243</v>
      </c>
      <c r="K2" s="547" t="s">
        <v>244</v>
      </c>
      <c r="L2" s="546" t="s">
        <v>245</v>
      </c>
      <c r="M2" s="547" t="s">
        <v>246</v>
      </c>
      <c r="N2" s="546" t="s">
        <v>134</v>
      </c>
      <c r="O2" s="547" t="s">
        <v>135</v>
      </c>
      <c r="P2" s="546" t="s">
        <v>247</v>
      </c>
      <c r="Q2" s="547" t="s">
        <v>248</v>
      </c>
      <c r="R2" s="546" t="s">
        <v>249</v>
      </c>
      <c r="S2" s="547" t="s">
        <v>250</v>
      </c>
      <c r="T2" s="546" t="s">
        <v>251</v>
      </c>
      <c r="U2" s="547" t="s">
        <v>252</v>
      </c>
      <c r="V2" s="546" t="s">
        <v>142</v>
      </c>
      <c r="W2" s="547" t="s">
        <v>143</v>
      </c>
      <c r="X2" s="546" t="s">
        <v>144</v>
      </c>
      <c r="Y2" s="547" t="s">
        <v>145</v>
      </c>
    </row>
    <row r="3" spans="1:25" s="544" customFormat="1" ht="17.25" customHeight="1" x14ac:dyDescent="0.2">
      <c r="A3" s="695" t="s">
        <v>253</v>
      </c>
      <c r="B3" s="550" t="s">
        <v>254</v>
      </c>
      <c r="C3" s="551" t="s">
        <v>255</v>
      </c>
      <c r="D3" s="548" t="s">
        <v>181</v>
      </c>
      <c r="E3" s="548" t="s">
        <v>181</v>
      </c>
      <c r="F3" s="548"/>
      <c r="G3" s="548"/>
      <c r="H3" s="548" t="s">
        <v>181</v>
      </c>
      <c r="I3" s="548"/>
      <c r="J3" s="548"/>
      <c r="K3" s="548"/>
      <c r="L3" s="548" t="s">
        <v>181</v>
      </c>
      <c r="M3" s="548" t="s">
        <v>181</v>
      </c>
      <c r="N3" s="548"/>
      <c r="O3" s="548"/>
      <c r="P3" s="548"/>
      <c r="Q3" s="548"/>
      <c r="R3" s="548"/>
      <c r="S3" s="548"/>
      <c r="T3" s="548"/>
      <c r="U3" s="548"/>
      <c r="V3" s="548"/>
      <c r="W3" s="548"/>
      <c r="X3" s="548"/>
      <c r="Y3" s="556"/>
    </row>
    <row r="4" spans="1:25" s="544" customFormat="1" ht="17.25" customHeight="1" x14ac:dyDescent="0.2">
      <c r="A4" s="696"/>
      <c r="B4" s="552" t="s">
        <v>256</v>
      </c>
      <c r="C4" s="553" t="s">
        <v>257</v>
      </c>
      <c r="D4" s="549" t="s">
        <v>181</v>
      </c>
      <c r="E4" s="549" t="s">
        <v>181</v>
      </c>
      <c r="F4" s="549"/>
      <c r="G4" s="549"/>
      <c r="H4" s="549"/>
      <c r="I4" s="549"/>
      <c r="J4" s="549"/>
      <c r="K4" s="549"/>
      <c r="L4" s="549"/>
      <c r="M4" s="549" t="s">
        <v>181</v>
      </c>
      <c r="N4" s="549"/>
      <c r="O4" s="549"/>
      <c r="P4" s="549"/>
      <c r="Q4" s="549"/>
      <c r="R4" s="549"/>
      <c r="S4" s="549"/>
      <c r="T4" s="549"/>
      <c r="U4" s="549"/>
      <c r="V4" s="549"/>
      <c r="W4" s="549"/>
      <c r="X4" s="549"/>
      <c r="Y4" s="557"/>
    </row>
    <row r="5" spans="1:25" s="544" customFormat="1" ht="17.25" customHeight="1" x14ac:dyDescent="0.2">
      <c r="A5" s="696"/>
      <c r="B5" s="552" t="s">
        <v>258</v>
      </c>
      <c r="C5" s="553" t="s">
        <v>259</v>
      </c>
      <c r="D5" s="549" t="s">
        <v>181</v>
      </c>
      <c r="E5" s="549" t="s">
        <v>181</v>
      </c>
      <c r="F5" s="549"/>
      <c r="G5" s="549"/>
      <c r="H5" s="549"/>
      <c r="I5" s="549"/>
      <c r="J5" s="549"/>
      <c r="K5" s="549"/>
      <c r="L5" s="549"/>
      <c r="M5" s="549" t="s">
        <v>181</v>
      </c>
      <c r="N5" s="549"/>
      <c r="O5" s="549"/>
      <c r="P5" s="549"/>
      <c r="Q5" s="549"/>
      <c r="R5" s="549"/>
      <c r="S5" s="549"/>
      <c r="T5" s="549"/>
      <c r="U5" s="549"/>
      <c r="V5" s="549"/>
      <c r="W5" s="549"/>
      <c r="X5" s="549"/>
      <c r="Y5" s="557"/>
    </row>
    <row r="6" spans="1:25" s="544" customFormat="1" ht="17.25" customHeight="1" x14ac:dyDescent="0.2">
      <c r="A6" s="696"/>
      <c r="B6" s="552" t="s">
        <v>260</v>
      </c>
      <c r="C6" s="553" t="s">
        <v>261</v>
      </c>
      <c r="D6" s="549" t="s">
        <v>181</v>
      </c>
      <c r="E6" s="549" t="s">
        <v>181</v>
      </c>
      <c r="F6" s="549"/>
      <c r="G6" s="549"/>
      <c r="H6" s="549"/>
      <c r="I6" s="549"/>
      <c r="J6" s="549"/>
      <c r="K6" s="549" t="s">
        <v>181</v>
      </c>
      <c r="L6" s="549"/>
      <c r="M6" s="549" t="s">
        <v>181</v>
      </c>
      <c r="N6" s="549"/>
      <c r="O6" s="549"/>
      <c r="P6" s="549"/>
      <c r="Q6" s="549"/>
      <c r="R6" s="549"/>
      <c r="S6" s="549"/>
      <c r="T6" s="549"/>
      <c r="U6" s="549"/>
      <c r="V6" s="549" t="s">
        <v>181</v>
      </c>
      <c r="W6" s="549" t="s">
        <v>181</v>
      </c>
      <c r="X6" s="549"/>
      <c r="Y6" s="557"/>
    </row>
    <row r="7" spans="1:25" s="544" customFormat="1" ht="17.25" customHeight="1" x14ac:dyDescent="0.2">
      <c r="A7" s="696"/>
      <c r="B7" s="552" t="s">
        <v>262</v>
      </c>
      <c r="C7" s="553" t="s">
        <v>263</v>
      </c>
      <c r="D7" s="549" t="s">
        <v>181</v>
      </c>
      <c r="E7" s="549" t="s">
        <v>181</v>
      </c>
      <c r="F7" s="549"/>
      <c r="G7" s="549"/>
      <c r="H7" s="549"/>
      <c r="I7" s="549"/>
      <c r="J7" s="549"/>
      <c r="K7" s="549" t="s">
        <v>181</v>
      </c>
      <c r="L7" s="549"/>
      <c r="M7" s="549" t="s">
        <v>181</v>
      </c>
      <c r="N7" s="549"/>
      <c r="O7" s="549"/>
      <c r="P7" s="549" t="s">
        <v>181</v>
      </c>
      <c r="Q7" s="549" t="s">
        <v>181</v>
      </c>
      <c r="R7" s="549" t="s">
        <v>181</v>
      </c>
      <c r="S7" s="549" t="s">
        <v>181</v>
      </c>
      <c r="T7" s="549" t="s">
        <v>181</v>
      </c>
      <c r="U7" s="549" t="s">
        <v>181</v>
      </c>
      <c r="V7" s="549"/>
      <c r="W7" s="549"/>
      <c r="X7" s="549" t="s">
        <v>181</v>
      </c>
      <c r="Y7" s="557" t="s">
        <v>181</v>
      </c>
    </row>
    <row r="8" spans="1:25" s="544" customFormat="1" ht="17.25" customHeight="1" x14ac:dyDescent="0.2">
      <c r="A8" s="696"/>
      <c r="B8" s="552" t="s">
        <v>264</v>
      </c>
      <c r="C8" s="553" t="s">
        <v>265</v>
      </c>
      <c r="D8" s="549" t="s">
        <v>181</v>
      </c>
      <c r="E8" s="549" t="s">
        <v>181</v>
      </c>
      <c r="F8" s="549"/>
      <c r="G8" s="549"/>
      <c r="H8" s="549"/>
      <c r="I8" s="549"/>
      <c r="J8" s="549"/>
      <c r="K8" s="549"/>
      <c r="L8" s="549"/>
      <c r="M8" s="549" t="s">
        <v>181</v>
      </c>
      <c r="N8" s="549"/>
      <c r="O8" s="549"/>
      <c r="P8" s="549"/>
      <c r="Q8" s="549"/>
      <c r="R8" s="549"/>
      <c r="S8" s="549"/>
      <c r="T8" s="549"/>
      <c r="U8" s="549"/>
      <c r="V8" s="549"/>
      <c r="W8" s="549"/>
      <c r="X8" s="549"/>
      <c r="Y8" s="557"/>
    </row>
    <row r="9" spans="1:25" s="544" customFormat="1" ht="17.25" customHeight="1" x14ac:dyDescent="0.2">
      <c r="A9" s="696"/>
      <c r="B9" s="552" t="s">
        <v>266</v>
      </c>
      <c r="C9" s="553" t="s">
        <v>267</v>
      </c>
      <c r="D9" s="549" t="s">
        <v>181</v>
      </c>
      <c r="E9" s="549" t="s">
        <v>181</v>
      </c>
      <c r="F9" s="549"/>
      <c r="G9" s="549"/>
      <c r="H9" s="549" t="s">
        <v>181</v>
      </c>
      <c r="I9" s="549"/>
      <c r="J9" s="549"/>
      <c r="K9" s="549"/>
      <c r="L9" s="549"/>
      <c r="M9" s="549" t="s">
        <v>181</v>
      </c>
      <c r="N9" s="549"/>
      <c r="O9" s="549"/>
      <c r="P9" s="549"/>
      <c r="Q9" s="549"/>
      <c r="R9" s="549"/>
      <c r="S9" s="549"/>
      <c r="T9" s="549"/>
      <c r="U9" s="549"/>
      <c r="V9" s="549"/>
      <c r="W9" s="549"/>
      <c r="X9" s="549"/>
      <c r="Y9" s="557"/>
    </row>
    <row r="10" spans="1:25" s="544" customFormat="1" ht="17.25" customHeight="1" x14ac:dyDescent="0.2">
      <c r="A10" s="696"/>
      <c r="B10" s="552" t="s">
        <v>268</v>
      </c>
      <c r="C10" s="553" t="s">
        <v>269</v>
      </c>
      <c r="D10" s="549" t="s">
        <v>181</v>
      </c>
      <c r="E10" s="549" t="s">
        <v>181</v>
      </c>
      <c r="F10" s="549" t="s">
        <v>181</v>
      </c>
      <c r="G10" s="549"/>
      <c r="H10" s="549"/>
      <c r="I10" s="549"/>
      <c r="J10" s="549"/>
      <c r="K10" s="549"/>
      <c r="L10" s="549"/>
      <c r="M10" s="549" t="s">
        <v>181</v>
      </c>
      <c r="N10" s="549" t="s">
        <v>181</v>
      </c>
      <c r="O10" s="549" t="s">
        <v>181</v>
      </c>
      <c r="P10" s="549"/>
      <c r="Q10" s="549"/>
      <c r="R10" s="549"/>
      <c r="S10" s="549"/>
      <c r="T10" s="549"/>
      <c r="U10" s="549"/>
      <c r="V10" s="549"/>
      <c r="W10" s="549"/>
      <c r="X10" s="549"/>
      <c r="Y10" s="557"/>
    </row>
    <row r="11" spans="1:25" s="544" customFormat="1" ht="17.25" customHeight="1" thickBot="1" x14ac:dyDescent="0.25">
      <c r="A11" s="697"/>
      <c r="B11" s="558" t="s">
        <v>270</v>
      </c>
      <c r="C11" s="559" t="s">
        <v>271</v>
      </c>
      <c r="D11" s="560" t="s">
        <v>181</v>
      </c>
      <c r="E11" s="560" t="s">
        <v>181</v>
      </c>
      <c r="F11" s="560" t="s">
        <v>181</v>
      </c>
      <c r="G11" s="560" t="s">
        <v>181</v>
      </c>
      <c r="H11" s="560"/>
      <c r="I11" s="560"/>
      <c r="J11" s="560"/>
      <c r="K11" s="560"/>
      <c r="L11" s="560" t="s">
        <v>181</v>
      </c>
      <c r="M11" s="560" t="s">
        <v>181</v>
      </c>
      <c r="N11" s="560"/>
      <c r="O11" s="560"/>
      <c r="P11" s="560"/>
      <c r="Q11" s="560"/>
      <c r="R11" s="560"/>
      <c r="S11" s="560"/>
      <c r="T11" s="560"/>
      <c r="U11" s="560"/>
      <c r="V11" s="560"/>
      <c r="W11" s="560"/>
      <c r="X11" s="560"/>
      <c r="Y11" s="561"/>
    </row>
    <row r="12" spans="1:25" s="392" customFormat="1" x14ac:dyDescent="0.2">
      <c r="A12" s="390"/>
      <c r="B12" s="391"/>
      <c r="F12" s="393"/>
      <c r="G12" s="393"/>
      <c r="H12" s="393"/>
      <c r="I12" s="393"/>
      <c r="M12" s="393"/>
      <c r="N12" s="393"/>
      <c r="O12" s="393"/>
      <c r="P12" s="393"/>
      <c r="Q12" s="393"/>
      <c r="R12" s="393"/>
    </row>
    <row r="13" spans="1:25" s="392" customFormat="1" ht="11.25" x14ac:dyDescent="0.2">
      <c r="A13" s="394"/>
      <c r="F13" s="393"/>
      <c r="G13" s="393"/>
      <c r="H13" s="393"/>
      <c r="I13" s="393"/>
      <c r="M13" s="393"/>
      <c r="N13" s="393"/>
      <c r="O13" s="393"/>
      <c r="P13" s="393"/>
      <c r="Q13" s="393"/>
      <c r="R13" s="393"/>
    </row>
    <row r="14" spans="1:25" s="392" customFormat="1" ht="11.25" x14ac:dyDescent="0.2">
      <c r="F14" s="393"/>
      <c r="G14" s="393"/>
      <c r="H14" s="393"/>
      <c r="I14" s="393"/>
      <c r="M14" s="393"/>
      <c r="N14" s="393"/>
      <c r="O14" s="393"/>
      <c r="P14" s="393"/>
      <c r="Q14" s="393"/>
      <c r="R14" s="393"/>
    </row>
    <row r="15" spans="1:25" s="392" customFormat="1" ht="11.25" x14ac:dyDescent="0.2">
      <c r="A15" s="394"/>
      <c r="F15" s="393"/>
      <c r="G15" s="393"/>
      <c r="H15" s="393"/>
      <c r="I15" s="393"/>
      <c r="M15" s="393"/>
      <c r="N15" s="393"/>
      <c r="O15" s="393"/>
      <c r="P15" s="393"/>
      <c r="Q15" s="393"/>
      <c r="R15" s="393"/>
    </row>
    <row r="16" spans="1:25" s="392" customFormat="1" ht="11.25" x14ac:dyDescent="0.2">
      <c r="A16" s="394"/>
      <c r="B16" s="395"/>
      <c r="C16" s="395"/>
      <c r="F16" s="393"/>
      <c r="G16" s="393"/>
      <c r="H16" s="393"/>
      <c r="I16" s="393"/>
      <c r="M16" s="393"/>
      <c r="N16" s="393"/>
      <c r="O16" s="393"/>
      <c r="P16" s="393"/>
      <c r="Q16" s="393"/>
      <c r="R16" s="393"/>
    </row>
    <row r="17" spans="1:18" s="392" customFormat="1" ht="11.25" x14ac:dyDescent="0.2">
      <c r="A17" s="394"/>
      <c r="B17" s="395"/>
      <c r="C17" s="395"/>
      <c r="M17" s="393"/>
      <c r="N17" s="393"/>
      <c r="O17" s="393"/>
      <c r="P17" s="393"/>
      <c r="Q17" s="393"/>
      <c r="R17" s="393"/>
    </row>
    <row r="18" spans="1:18" s="392" customFormat="1" ht="12.75" customHeight="1" x14ac:dyDescent="0.2">
      <c r="A18" s="394"/>
      <c r="B18" s="395"/>
      <c r="C18" s="395"/>
      <c r="M18" s="393"/>
      <c r="N18" s="393"/>
      <c r="O18" s="393"/>
      <c r="P18" s="393"/>
      <c r="Q18" s="393"/>
      <c r="R18" s="393"/>
    </row>
    <row r="19" spans="1:18" s="392" customFormat="1" ht="11.25" x14ac:dyDescent="0.2">
      <c r="A19" s="394"/>
      <c r="B19" s="395"/>
      <c r="C19" s="395"/>
      <c r="M19" s="393"/>
      <c r="N19" s="393"/>
      <c r="O19" s="393"/>
      <c r="P19" s="393"/>
      <c r="Q19" s="393"/>
      <c r="R19" s="393"/>
    </row>
    <row r="20" spans="1:18" s="392" customFormat="1" ht="11.25" x14ac:dyDescent="0.2">
      <c r="A20" s="394"/>
      <c r="B20" s="396"/>
      <c r="C20" s="396"/>
      <c r="M20" s="393"/>
      <c r="N20" s="393"/>
      <c r="O20" s="393"/>
      <c r="P20" s="393"/>
      <c r="Q20" s="393"/>
      <c r="R20" s="393"/>
    </row>
    <row r="21" spans="1:18" s="392" customFormat="1" ht="11.25" x14ac:dyDescent="0.2">
      <c r="A21" s="394"/>
      <c r="B21" s="396"/>
      <c r="C21" s="396"/>
      <c r="M21" s="393"/>
      <c r="N21" s="393"/>
      <c r="O21" s="393"/>
      <c r="P21" s="393"/>
      <c r="Q21" s="393"/>
      <c r="R21" s="393"/>
    </row>
    <row r="22" spans="1:18" s="392" customFormat="1" ht="11.25" x14ac:dyDescent="0.2">
      <c r="A22" s="394"/>
      <c r="B22" s="395"/>
      <c r="C22" s="395"/>
      <c r="M22" s="393"/>
      <c r="N22" s="393"/>
      <c r="O22" s="393"/>
      <c r="P22" s="393"/>
      <c r="Q22" s="393"/>
      <c r="R22" s="393"/>
    </row>
    <row r="23" spans="1:18" s="392" customFormat="1" ht="11.25" x14ac:dyDescent="0.2">
      <c r="A23" s="394"/>
      <c r="B23" s="395"/>
      <c r="C23" s="395"/>
      <c r="M23" s="393"/>
      <c r="N23" s="393"/>
      <c r="O23" s="393"/>
      <c r="P23" s="393"/>
      <c r="Q23" s="393"/>
      <c r="R23" s="393"/>
    </row>
    <row r="27" spans="1:18" x14ac:dyDescent="0.2">
      <c r="B27" s="397"/>
      <c r="C27" s="397"/>
    </row>
    <row r="28" spans="1:18" x14ac:dyDescent="0.2">
      <c r="B28" s="397"/>
      <c r="C28" s="397"/>
    </row>
    <row r="29" spans="1:18" x14ac:dyDescent="0.2">
      <c r="B29" s="397"/>
      <c r="C29" s="397"/>
    </row>
    <row r="30" spans="1:18" x14ac:dyDescent="0.2">
      <c r="B30" s="399"/>
      <c r="C30" s="399"/>
      <c r="K30" s="400"/>
      <c r="L30" s="400"/>
    </row>
    <row r="31" spans="1:18" x14ac:dyDescent="0.2">
      <c r="B31" s="397"/>
      <c r="C31" s="397"/>
    </row>
    <row r="32" spans="1:18" x14ac:dyDescent="0.2">
      <c r="B32" s="397"/>
      <c r="C32" s="397"/>
    </row>
    <row r="33" spans="2:3" x14ac:dyDescent="0.2">
      <c r="B33" s="397"/>
      <c r="C33" s="397"/>
    </row>
    <row r="34" spans="2:3" x14ac:dyDescent="0.2">
      <c r="B34" s="397"/>
      <c r="C34" s="397"/>
    </row>
    <row r="35" spans="2:3" x14ac:dyDescent="0.2">
      <c r="B35" s="397"/>
      <c r="C35" s="397"/>
    </row>
    <row r="36" spans="2:3" x14ac:dyDescent="0.2">
      <c r="B36" s="397"/>
      <c r="C36" s="397"/>
    </row>
    <row r="37" spans="2:3" x14ac:dyDescent="0.2">
      <c r="B37" s="397"/>
      <c r="C37" s="397"/>
    </row>
    <row r="38" spans="2:3" x14ac:dyDescent="0.2">
      <c r="B38" s="397"/>
      <c r="C38" s="397"/>
    </row>
    <row r="39" spans="2:3" x14ac:dyDescent="0.2">
      <c r="B39" s="397"/>
      <c r="C39" s="397"/>
    </row>
    <row r="40" spans="2:3" x14ac:dyDescent="0.2">
      <c r="B40" s="397"/>
      <c r="C40" s="397"/>
    </row>
    <row r="42" spans="2:3" x14ac:dyDescent="0.2">
      <c r="B42" s="397"/>
      <c r="C42" s="397"/>
    </row>
  </sheetData>
  <mergeCells count="2">
    <mergeCell ref="A3:A11"/>
    <mergeCell ref="D1:Y1"/>
  </mergeCells>
  <conditionalFormatting sqref="D3:Y11">
    <cfRule type="cellIs" dxfId="2" priority="1" operator="equal">
      <formula>""</formula>
    </cfRule>
  </conditionalFormatting>
  <hyperlinks>
    <hyperlink ref="C1" location="Inventory!A1" display="Inventory"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CDAB2F88775145B114997D7E3EC086" ma:contentTypeVersion="5" ma:contentTypeDescription="Create a new document." ma:contentTypeScope="" ma:versionID="ac8e86be52442a466a4d1d49b35ea697">
  <xsd:schema xmlns:xsd="http://www.w3.org/2001/XMLSchema" xmlns:xs="http://www.w3.org/2001/XMLSchema" xmlns:p="http://schemas.microsoft.com/office/2006/metadata/properties" xmlns:ns2="f33575d1-c635-47cb-9f2e-8b33b5cd6ba3" targetNamespace="http://schemas.microsoft.com/office/2006/metadata/properties" ma:root="true" ma:fieldsID="4f20e3f97fa5e7b089bcd9af969c5083" ns2:_="">
    <xsd:import namespace="f33575d1-c635-47cb-9f2e-8b33b5cd6ba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575d1-c635-47cb-9f2e-8b33b5cd6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6D3FBCC-3C53-48FF-8534-FD9B34A47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575d1-c635-47cb-9f2e-8b33b5cd6b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1F5D7D-2869-4FAD-997E-882C4A5DAD37}">
  <ds:schemaRefs>
    <ds:schemaRef ds:uri="http://schemas.microsoft.com/sharepoint/v3/contenttype/forms"/>
  </ds:schemaRefs>
</ds:datastoreItem>
</file>

<file path=customXml/itemProps3.xml><?xml version="1.0" encoding="utf-8"?>
<ds:datastoreItem xmlns:ds="http://schemas.openxmlformats.org/officeDocument/2006/customXml" ds:itemID="{2447D43E-1724-46EE-9609-3223A18E0F05}">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f33575d1-c635-47cb-9f2e-8b33b5cd6ba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Inventory</vt:lpstr>
      <vt:lpstr>Log</vt:lpstr>
      <vt:lpstr>HM - 3 AC 3 Crew</vt:lpstr>
      <vt:lpstr>HM - 4 AC 4 Crew</vt:lpstr>
      <vt:lpstr>HM-Det 3</vt:lpstr>
      <vt:lpstr>HM - Bahrain DRRS</vt:lpstr>
      <vt:lpstr>HM - 4 AC, 6 Crew DRRS</vt:lpstr>
      <vt:lpstr>HM (MH-53E FRS)</vt:lpstr>
      <vt:lpstr>HM Reduced MET Matrix</vt:lpstr>
      <vt:lpstr>MH-53E Mission System Summary_O</vt:lpstr>
      <vt:lpstr>MH-53E Mission System Summary</vt:lpstr>
      <vt:lpstr>HM Mission Systems</vt:lpstr>
      <vt:lpstr>Definitions</vt:lpstr>
    </vt:vector>
  </TitlesOfParts>
  <Manager/>
  <Company>Booz Allen Hamilton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
  <dc:creator>MICHAEL FLEETWOOD</dc:creator>
  <cp:keywords/>
  <dc:description/>
  <cp:lastModifiedBy>Mark Bodoh</cp:lastModifiedBy>
  <cp:revision/>
  <dcterms:created xsi:type="dcterms:W3CDTF">2008-07-22T20:37:00Z</dcterms:created>
  <dcterms:modified xsi:type="dcterms:W3CDTF">2023-04-06T00:19:53Z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0x010100EBCDAB2F88775145B114997D7E3EC086</vt:lpwstr>
  </property>
  <property fmtid="{D5CDD505-2E9C-101B-9397-08002B2CF9AE}" pid="3" name="_dlc_DocIdItemGuid">
    <vt:lpwstr>62cca4a2-23df-4b4c-b57d-eacfe5716e57</vt:lpwstr>
  </property>
  <property fmtid="{D5CDD505-2E9C-101B-9397-08002B2CF9AE}" pid="4" name="Order">
    <vt:r8>29700</vt:r8>
  </property>
  <property fmtid="{D5CDD505-2E9C-101B-9397-08002B2CF9AE}" pid="5" name="MSIP_Label_afe64f26-154f-4743-927e-a7310aa86873_Enabled">
    <vt:lpwstr>true</vt:lpwstr>
  </property>
  <property fmtid="{D5CDD505-2E9C-101B-9397-08002B2CF9AE}" pid="6" name="MSIP_Label_afe64f26-154f-4743-927e-a7310aa86873_SetDate">
    <vt:lpwstr>2023-04-06T00:19:36Z</vt:lpwstr>
  </property>
  <property fmtid="{D5CDD505-2E9C-101B-9397-08002B2CF9AE}" pid="7" name="MSIP_Label_afe64f26-154f-4743-927e-a7310aa86873_Method">
    <vt:lpwstr>Privileged</vt:lpwstr>
  </property>
  <property fmtid="{D5CDD505-2E9C-101B-9397-08002B2CF9AE}" pid="8" name="MSIP_Label_afe64f26-154f-4743-927e-a7310aa86873_Name">
    <vt:lpwstr>GovernmentData</vt:lpwstr>
  </property>
  <property fmtid="{D5CDD505-2E9C-101B-9397-08002B2CF9AE}" pid="9" name="MSIP_Label_afe64f26-154f-4743-927e-a7310aa86873_SiteId">
    <vt:lpwstr>29ac9fa0-83e8-40a8-914f-a74b1c9c46d0</vt:lpwstr>
  </property>
  <property fmtid="{D5CDD505-2E9C-101B-9397-08002B2CF9AE}" pid="10" name="MSIP_Label_afe64f26-154f-4743-927e-a7310aa86873_ActionId">
    <vt:lpwstr>8b8a59f3-80de-44d0-ada0-607d3cc5231c</vt:lpwstr>
  </property>
  <property fmtid="{D5CDD505-2E9C-101B-9397-08002B2CF9AE}" pid="11" name="MSIP_Label_afe64f26-154f-4743-927e-a7310aa86873_ContentBits">
    <vt:lpwstr>0</vt:lpwstr>
  </property>
</Properties>
</file>